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e\BUDGET MONITORING\I&amp;E\"/>
    </mc:Choice>
  </mc:AlternateContent>
  <bookViews>
    <workbookView xWindow="0" yWindow="0" windowWidth="21375" windowHeight="9525"/>
  </bookViews>
  <sheets>
    <sheet name="I&amp;E Return" sheetId="3" r:id="rId1"/>
    <sheet name="BM for Sept I&amp;E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3" l="1"/>
  <c r="I42" i="3"/>
  <c r="H42" i="3"/>
  <c r="F42" i="3"/>
  <c r="H41" i="3"/>
  <c r="H46" i="3" s="1"/>
  <c r="F41" i="3"/>
  <c r="H33" i="3"/>
  <c r="H28" i="3"/>
  <c r="F28" i="3"/>
  <c r="I28" i="3" s="1"/>
  <c r="I27" i="3"/>
  <c r="H27" i="3"/>
  <c r="F27" i="3"/>
  <c r="H26" i="3"/>
  <c r="I26" i="3" s="1"/>
  <c r="F26" i="3"/>
  <c r="H25" i="3"/>
  <c r="F25" i="3"/>
  <c r="F29" i="3" s="1"/>
  <c r="H24" i="3"/>
  <c r="F24" i="3"/>
  <c r="I24" i="3" s="1"/>
  <c r="I23" i="3"/>
  <c r="H23" i="3"/>
  <c r="F23" i="3"/>
  <c r="H22" i="3"/>
  <c r="H29" i="3" s="1"/>
  <c r="F22" i="3"/>
  <c r="I19" i="3"/>
  <c r="H19" i="3"/>
  <c r="F19" i="3"/>
  <c r="H18" i="3"/>
  <c r="I18" i="3" s="1"/>
  <c r="F18" i="3"/>
  <c r="H17" i="3"/>
  <c r="F17" i="3"/>
  <c r="I17" i="3" s="1"/>
  <c r="H16" i="3"/>
  <c r="F16" i="3"/>
  <c r="I16" i="3" s="1"/>
  <c r="I15" i="3"/>
  <c r="H15" i="3"/>
  <c r="F15" i="3"/>
  <c r="H14" i="3"/>
  <c r="I14" i="3" s="1"/>
  <c r="F14" i="3"/>
  <c r="H13" i="3"/>
  <c r="F13" i="3"/>
  <c r="I13" i="3" s="1"/>
  <c r="H12" i="3"/>
  <c r="F12" i="3"/>
  <c r="I12" i="3" s="1"/>
  <c r="I11" i="3"/>
  <c r="H11" i="3"/>
  <c r="H20" i="3" s="1"/>
  <c r="H31" i="3" s="1"/>
  <c r="F11" i="3"/>
  <c r="C6" i="3"/>
  <c r="H4" i="3"/>
  <c r="C4" i="3"/>
  <c r="H48" i="3" l="1"/>
  <c r="H35" i="3"/>
  <c r="F35" i="3" s="1"/>
  <c r="I22" i="3"/>
  <c r="I41" i="3"/>
  <c r="I25" i="3"/>
  <c r="F20" i="3"/>
  <c r="F31" i="3" s="1"/>
  <c r="C123" i="2"/>
  <c r="E117" i="2"/>
  <c r="F115" i="2"/>
  <c r="D115" i="2"/>
  <c r="C115" i="2"/>
  <c r="G115" i="2" s="1"/>
  <c r="F114" i="2"/>
  <c r="D114" i="2"/>
  <c r="C114" i="2"/>
  <c r="G114" i="2" s="1"/>
  <c r="F113" i="2"/>
  <c r="D113" i="2"/>
  <c r="C113" i="2"/>
  <c r="G113" i="2" s="1"/>
  <c r="F112" i="2"/>
  <c r="F117" i="2" s="1"/>
  <c r="D112" i="2"/>
  <c r="D117" i="2" s="1"/>
  <c r="C112" i="2"/>
  <c r="C117" i="2" s="1"/>
  <c r="G109" i="2"/>
  <c r="F109" i="2"/>
  <c r="E109" i="2"/>
  <c r="D109" i="2"/>
  <c r="C109" i="2"/>
  <c r="F100" i="2"/>
  <c r="E100" i="2"/>
  <c r="G99" i="2"/>
  <c r="F99" i="2"/>
  <c r="D99" i="2"/>
  <c r="C99" i="2"/>
  <c r="G98" i="2"/>
  <c r="F98" i="2"/>
  <c r="D98" i="2"/>
  <c r="C98" i="2"/>
  <c r="G97" i="2"/>
  <c r="F97" i="2"/>
  <c r="D97" i="2"/>
  <c r="C97" i="2"/>
  <c r="G96" i="2"/>
  <c r="F96" i="2"/>
  <c r="D96" i="2"/>
  <c r="C96" i="2"/>
  <c r="G95" i="2"/>
  <c r="G100" i="2" s="1"/>
  <c r="F95" i="2"/>
  <c r="D95" i="2"/>
  <c r="D100" i="2" s="1"/>
  <c r="C95" i="2"/>
  <c r="C100" i="2" s="1"/>
  <c r="F91" i="2"/>
  <c r="E91" i="2"/>
  <c r="D91" i="2"/>
  <c r="C91" i="2"/>
  <c r="G91" i="2" s="1"/>
  <c r="F90" i="2"/>
  <c r="D90" i="2"/>
  <c r="C90" i="2"/>
  <c r="G90" i="2" s="1"/>
  <c r="F89" i="2"/>
  <c r="D89" i="2"/>
  <c r="C89" i="2"/>
  <c r="G89" i="2" s="1"/>
  <c r="F88" i="2"/>
  <c r="D88" i="2"/>
  <c r="C88" i="2"/>
  <c r="G88" i="2" s="1"/>
  <c r="F87" i="2"/>
  <c r="D87" i="2"/>
  <c r="C87" i="2"/>
  <c r="G87" i="2" s="1"/>
  <c r="F86" i="2"/>
  <c r="D86" i="2"/>
  <c r="C86" i="2"/>
  <c r="G86" i="2" s="1"/>
  <c r="F85" i="2"/>
  <c r="D85" i="2"/>
  <c r="C85" i="2"/>
  <c r="G85" i="2" s="1"/>
  <c r="F84" i="2"/>
  <c r="D84" i="2"/>
  <c r="C84" i="2"/>
  <c r="G84" i="2" s="1"/>
  <c r="F83" i="2"/>
  <c r="D83" i="2"/>
  <c r="C83" i="2"/>
  <c r="G83" i="2" s="1"/>
  <c r="F82" i="2"/>
  <c r="D82" i="2"/>
  <c r="C82" i="2"/>
  <c r="G82" i="2" s="1"/>
  <c r="F81" i="2"/>
  <c r="D81" i="2"/>
  <c r="C81" i="2"/>
  <c r="G81" i="2" s="1"/>
  <c r="F80" i="2"/>
  <c r="D80" i="2"/>
  <c r="C80" i="2"/>
  <c r="G80" i="2" s="1"/>
  <c r="F79" i="2"/>
  <c r="D79" i="2"/>
  <c r="C79" i="2"/>
  <c r="G79" i="2" s="1"/>
  <c r="F78" i="2"/>
  <c r="E78" i="2"/>
  <c r="D78" i="2"/>
  <c r="C78" i="2"/>
  <c r="G78" i="2" s="1"/>
  <c r="F77" i="2"/>
  <c r="C77" i="2"/>
  <c r="G77" i="2" s="1"/>
  <c r="F76" i="2"/>
  <c r="D76" i="2"/>
  <c r="C76" i="2"/>
  <c r="G76" i="2" s="1"/>
  <c r="F75" i="2"/>
  <c r="D75" i="2"/>
  <c r="C75" i="2"/>
  <c r="G75" i="2" s="1"/>
  <c r="F74" i="2"/>
  <c r="D74" i="2"/>
  <c r="C74" i="2"/>
  <c r="G74" i="2" s="1"/>
  <c r="F73" i="2"/>
  <c r="D73" i="2"/>
  <c r="C73" i="2"/>
  <c r="G73" i="2" s="1"/>
  <c r="F72" i="2"/>
  <c r="E72" i="2"/>
  <c r="E92" i="2" s="1"/>
  <c r="C72" i="2"/>
  <c r="G72" i="2" s="1"/>
  <c r="F71" i="2"/>
  <c r="F92" i="2" s="1"/>
  <c r="D71" i="2"/>
  <c r="D92" i="2" s="1"/>
  <c r="C71" i="2"/>
  <c r="G71" i="2" s="1"/>
  <c r="F67" i="2"/>
  <c r="E67" i="2"/>
  <c r="D67" i="2"/>
  <c r="C67" i="2"/>
  <c r="G67" i="2" s="1"/>
  <c r="G66" i="2"/>
  <c r="F66" i="2"/>
  <c r="D66" i="2"/>
  <c r="C66" i="2"/>
  <c r="F65" i="2"/>
  <c r="E65" i="2"/>
  <c r="D65" i="2"/>
  <c r="C65" i="2"/>
  <c r="G65" i="2" s="1"/>
  <c r="F64" i="2"/>
  <c r="D64" i="2"/>
  <c r="C64" i="2"/>
  <c r="G64" i="2" s="1"/>
  <c r="F63" i="2"/>
  <c r="D63" i="2"/>
  <c r="C63" i="2"/>
  <c r="G63" i="2" s="1"/>
  <c r="F62" i="2"/>
  <c r="D62" i="2"/>
  <c r="C62" i="2"/>
  <c r="G62" i="2" s="1"/>
  <c r="F61" i="2"/>
  <c r="D61" i="2"/>
  <c r="C61" i="2"/>
  <c r="G61" i="2" s="1"/>
  <c r="F60" i="2"/>
  <c r="E60" i="2"/>
  <c r="D60" i="2"/>
  <c r="C60" i="2"/>
  <c r="G60" i="2" s="1"/>
  <c r="F59" i="2"/>
  <c r="E59" i="2"/>
  <c r="D59" i="2"/>
  <c r="C59" i="2"/>
  <c r="G59" i="2" s="1"/>
  <c r="F58" i="2"/>
  <c r="E58" i="2"/>
  <c r="D58" i="2"/>
  <c r="C58" i="2"/>
  <c r="G58" i="2" s="1"/>
  <c r="G57" i="2"/>
  <c r="F57" i="2"/>
  <c r="D57" i="2"/>
  <c r="C57" i="2"/>
  <c r="F56" i="2"/>
  <c r="E56" i="2"/>
  <c r="D56" i="2"/>
  <c r="C56" i="2"/>
  <c r="G56" i="2" s="1"/>
  <c r="F55" i="2"/>
  <c r="D55" i="2"/>
  <c r="C55" i="2"/>
  <c r="G55" i="2" s="1"/>
  <c r="F54" i="2"/>
  <c r="D54" i="2"/>
  <c r="C54" i="2"/>
  <c r="G54" i="2" s="1"/>
  <c r="F53" i="2"/>
  <c r="D53" i="2"/>
  <c r="C53" i="2"/>
  <c r="G53" i="2" s="1"/>
  <c r="F52" i="2"/>
  <c r="D52" i="2"/>
  <c r="C52" i="2"/>
  <c r="G52" i="2" s="1"/>
  <c r="F51" i="2"/>
  <c r="D51" i="2"/>
  <c r="C51" i="2"/>
  <c r="G51" i="2" s="1"/>
  <c r="F50" i="2"/>
  <c r="D50" i="2"/>
  <c r="C50" i="2"/>
  <c r="G50" i="2" s="1"/>
  <c r="F49" i="2"/>
  <c r="D49" i="2"/>
  <c r="C49" i="2"/>
  <c r="G49" i="2" s="1"/>
  <c r="G48" i="2"/>
  <c r="D48" i="2"/>
  <c r="C48" i="2"/>
  <c r="G47" i="2"/>
  <c r="D47" i="2"/>
  <c r="C47" i="2"/>
  <c r="F46" i="2"/>
  <c r="D46" i="2"/>
  <c r="D68" i="2" s="1"/>
  <c r="C46" i="2"/>
  <c r="F45" i="2"/>
  <c r="E45" i="2"/>
  <c r="G45" i="2" s="1"/>
  <c r="C45" i="2"/>
  <c r="F44" i="2"/>
  <c r="F68" i="2" s="1"/>
  <c r="C44" i="2"/>
  <c r="G44" i="2" s="1"/>
  <c r="C43" i="2"/>
  <c r="C68" i="2" s="1"/>
  <c r="G40" i="2"/>
  <c r="F40" i="2"/>
  <c r="D40" i="2"/>
  <c r="C40" i="2"/>
  <c r="F38" i="2"/>
  <c r="D38" i="2"/>
  <c r="C38" i="2"/>
  <c r="G38" i="2" s="1"/>
  <c r="F37" i="2"/>
  <c r="D37" i="2"/>
  <c r="C37" i="2"/>
  <c r="G37" i="2" s="1"/>
  <c r="F36" i="2"/>
  <c r="D36" i="2"/>
  <c r="C36" i="2"/>
  <c r="G36" i="2" s="1"/>
  <c r="F35" i="2"/>
  <c r="D35" i="2"/>
  <c r="C35" i="2"/>
  <c r="G35" i="2" s="1"/>
  <c r="F34" i="2"/>
  <c r="D34" i="2"/>
  <c r="C34" i="2"/>
  <c r="G34" i="2" s="1"/>
  <c r="F33" i="2"/>
  <c r="D33" i="2"/>
  <c r="C33" i="2"/>
  <c r="G33" i="2" s="1"/>
  <c r="G32" i="2"/>
  <c r="F32" i="2"/>
  <c r="D32" i="2"/>
  <c r="G31" i="2"/>
  <c r="F31" i="2"/>
  <c r="D31" i="2"/>
  <c r="C31" i="2"/>
  <c r="G30" i="2"/>
  <c r="F30" i="2"/>
  <c r="D30" i="2"/>
  <c r="C30" i="2"/>
  <c r="G29" i="2"/>
  <c r="F29" i="2"/>
  <c r="D29" i="2"/>
  <c r="C29" i="2"/>
  <c r="G28" i="2"/>
  <c r="F28" i="2"/>
  <c r="D28" i="2"/>
  <c r="C28" i="2"/>
  <c r="G27" i="2"/>
  <c r="F27" i="2"/>
  <c r="D27" i="2"/>
  <c r="C27" i="2"/>
  <c r="G26" i="2"/>
  <c r="F26" i="2"/>
  <c r="D26" i="2"/>
  <c r="C26" i="2"/>
  <c r="G25" i="2"/>
  <c r="F25" i="2"/>
  <c r="D25" i="2"/>
  <c r="C25" i="2"/>
  <c r="F24" i="2"/>
  <c r="F39" i="2" s="1"/>
  <c r="F103" i="2" s="1"/>
  <c r="E24" i="2"/>
  <c r="D24" i="2"/>
  <c r="C24" i="2"/>
  <c r="G24" i="2" s="1"/>
  <c r="F23" i="2"/>
  <c r="E23" i="2"/>
  <c r="E39" i="2" s="1"/>
  <c r="D23" i="2"/>
  <c r="D39" i="2" s="1"/>
  <c r="C23" i="2"/>
  <c r="G23" i="2" s="1"/>
  <c r="E19" i="2"/>
  <c r="D19" i="2"/>
  <c r="F17" i="2"/>
  <c r="E17" i="2"/>
  <c r="D17" i="2"/>
  <c r="C17" i="2"/>
  <c r="G17" i="2" s="1"/>
  <c r="G16" i="2"/>
  <c r="F16" i="2"/>
  <c r="D16" i="2"/>
  <c r="C16" i="2"/>
  <c r="F15" i="2"/>
  <c r="G15" i="2" s="1"/>
  <c r="D15" i="2"/>
  <c r="C15" i="2"/>
  <c r="F14" i="2"/>
  <c r="G14" i="2" s="1"/>
  <c r="D14" i="2"/>
  <c r="C14" i="2"/>
  <c r="F13" i="2"/>
  <c r="G13" i="2" s="1"/>
  <c r="D13" i="2"/>
  <c r="C13" i="2"/>
  <c r="F12" i="2"/>
  <c r="G12" i="2" s="1"/>
  <c r="D12" i="2"/>
  <c r="C12" i="2"/>
  <c r="F11" i="2"/>
  <c r="F19" i="2" s="1"/>
  <c r="F119" i="2" s="1"/>
  <c r="F120" i="2" s="1"/>
  <c r="F124" i="2" s="1"/>
  <c r="E11" i="2"/>
  <c r="D11" i="2"/>
  <c r="C11" i="2"/>
  <c r="G11" i="2" s="1"/>
  <c r="G10" i="2"/>
  <c r="F10" i="2"/>
  <c r="D10" i="2"/>
  <c r="C10" i="2"/>
  <c r="G9" i="2"/>
  <c r="F9" i="2"/>
  <c r="D9" i="2"/>
  <c r="C9" i="2"/>
  <c r="C19" i="2" s="1"/>
  <c r="F105" i="2" l="1"/>
  <c r="F107" i="2" s="1"/>
  <c r="G39" i="2"/>
  <c r="G103" i="2" s="1"/>
  <c r="D119" i="2"/>
  <c r="D120" i="2" s="1"/>
  <c r="D124" i="2" s="1"/>
  <c r="G19" i="2"/>
  <c r="D103" i="2"/>
  <c r="D105" i="2" s="1"/>
  <c r="G92" i="2"/>
  <c r="C92" i="2"/>
  <c r="E68" i="2"/>
  <c r="E103" i="2" s="1"/>
  <c r="G112" i="2"/>
  <c r="G117" i="2" s="1"/>
  <c r="C39" i="2"/>
  <c r="C103" i="2" s="1"/>
  <c r="C105" i="2" s="1"/>
  <c r="C107" i="2" s="1"/>
  <c r="G46" i="2"/>
  <c r="G43" i="2"/>
  <c r="G68" i="2" s="1"/>
  <c r="E105" i="2" l="1"/>
  <c r="E119" i="2"/>
  <c r="E120" i="2" s="1"/>
  <c r="G105" i="2"/>
  <c r="G107" i="2" s="1"/>
  <c r="C119" i="2"/>
  <c r="C120" i="2" s="1"/>
  <c r="C124" i="2" s="1"/>
  <c r="C110" i="2"/>
  <c r="G119" i="2" l="1"/>
  <c r="G110" i="2"/>
</calcChain>
</file>

<file path=xl/comments1.xml><?xml version="1.0" encoding="utf-8"?>
<comments xmlns="http://schemas.openxmlformats.org/spreadsheetml/2006/main">
  <authors>
    <author>mileshm</author>
  </authors>
  <commentList>
    <comment ref="H48" authorId="0" shapeId="0">
      <text>
        <r>
          <rPr>
            <b/>
            <sz val="10"/>
            <color indexed="81"/>
            <rFont val="Tahoma"/>
            <family val="2"/>
          </rPr>
          <t>If this cell is empty, please fill in your Name, DfE &amp; CAP boxes on the Workings tab</t>
        </r>
      </text>
    </comment>
  </commentList>
</comments>
</file>

<file path=xl/comments2.xml><?xml version="1.0" encoding="utf-8"?>
<comments xmlns="http://schemas.openxmlformats.org/spreadsheetml/2006/main">
  <authors>
    <author>khadija.tahari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Input school's cost centre codes into column A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Input school's descriptions into column B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Input school's forecast commitments into column E</t>
        </r>
      </text>
    </comment>
  </commentList>
</comments>
</file>

<file path=xl/sharedStrings.xml><?xml version="1.0" encoding="utf-8"?>
<sst xmlns="http://schemas.openxmlformats.org/spreadsheetml/2006/main" count="238" uniqueCount="225">
  <si>
    <t>Description</t>
  </si>
  <si>
    <t>Full/Part-time Teachers</t>
  </si>
  <si>
    <t>Heads &amp; Deputies</t>
  </si>
  <si>
    <t>General Absence Supply</t>
  </si>
  <si>
    <t>Subject Leadership Supply</t>
  </si>
  <si>
    <t>Teaching Assistants</t>
  </si>
  <si>
    <t>MDSAs</t>
  </si>
  <si>
    <t>Numeracy</t>
  </si>
  <si>
    <t>Administrative &amp; Clerical</t>
  </si>
  <si>
    <t>Apprenticeship Levy</t>
  </si>
  <si>
    <t>Supply Insurance</t>
  </si>
  <si>
    <t>Travel Costs</t>
  </si>
  <si>
    <t>Grounds Maintenance</t>
  </si>
  <si>
    <t>Planned Improvements</t>
  </si>
  <si>
    <t>Repairs &amp; Maintenance</t>
  </si>
  <si>
    <t>Compliance &amp; Reactive Repairs</t>
  </si>
  <si>
    <t>Caretakers/Cleaners</t>
  </si>
  <si>
    <t>Energy</t>
  </si>
  <si>
    <t>Rates &amp; Rents</t>
  </si>
  <si>
    <t>Water Services</t>
  </si>
  <si>
    <t>Insurances</t>
  </si>
  <si>
    <t>Cleaning &amp; Domestic Supplies</t>
  </si>
  <si>
    <t>Consumable Stock</t>
  </si>
  <si>
    <t>First Access Music Violins</t>
  </si>
  <si>
    <t>Educational Visits</t>
  </si>
  <si>
    <t>Residential Trips</t>
  </si>
  <si>
    <t>Swimming</t>
  </si>
  <si>
    <t>CPD Courses</t>
  </si>
  <si>
    <t>CPD Supply</t>
  </si>
  <si>
    <t>KS2 SATS Supply</t>
  </si>
  <si>
    <t>KS1 SATS Supply</t>
  </si>
  <si>
    <t>Literacy</t>
  </si>
  <si>
    <t>Science</t>
  </si>
  <si>
    <t>TA Supply</t>
  </si>
  <si>
    <t>Marketing</t>
  </si>
  <si>
    <t>SENCO Supply</t>
  </si>
  <si>
    <t>Library</t>
  </si>
  <si>
    <t>ICT Support &amp; Broadband</t>
  </si>
  <si>
    <t>Early Years</t>
  </si>
  <si>
    <t>Cookery</t>
  </si>
  <si>
    <t>PPG Misc</t>
  </si>
  <si>
    <t>Administration</t>
  </si>
  <si>
    <t>Catering Service</t>
  </si>
  <si>
    <t>Governors Expenses</t>
  </si>
  <si>
    <t>Licences &amp; Subscriptions</t>
  </si>
  <si>
    <t>Admin Computer Maintenance</t>
  </si>
  <si>
    <t>Postage</t>
  </si>
  <si>
    <t>Telephones</t>
  </si>
  <si>
    <t>PPA Cover</t>
  </si>
  <si>
    <t>11001</t>
  </si>
  <si>
    <t>Teachers Pay Grant</t>
  </si>
  <si>
    <t>Donations Misc</t>
  </si>
  <si>
    <t>Cost Code</t>
  </si>
  <si>
    <t>Budget Allocated</t>
  </si>
  <si>
    <t>Commitments on FMS</t>
  </si>
  <si>
    <t>Actual to date</t>
  </si>
  <si>
    <t>Printing/Copying</t>
  </si>
  <si>
    <t xml:space="preserve">Langley Fitzurse CE Primary School  </t>
  </si>
  <si>
    <t>Budget Monitoring Report - 9 October 2019 - for Income &amp; Expenditure report</t>
  </si>
  <si>
    <t>Commitments estimated until end Mar '20</t>
  </si>
  <si>
    <t>Forecast balance at Fin Yr End</t>
  </si>
  <si>
    <t>NOTES</t>
  </si>
  <si>
    <t>REVENUE INCOME</t>
  </si>
  <si>
    <t xml:space="preserve">Revenue Rollover b/fw'd from 2018/19 </t>
  </si>
  <si>
    <t>Bank interest</t>
  </si>
  <si>
    <t>School Budget Share incl PPG + TPG + T Pension G</t>
  </si>
  <si>
    <t>Sports Grant</t>
  </si>
  <si>
    <t>Lettings</t>
  </si>
  <si>
    <t xml:space="preserve">UIFSM </t>
  </si>
  <si>
    <t>LA income NPA/SEN</t>
  </si>
  <si>
    <t>TOTAL REVENUE INCOME (A)</t>
  </si>
  <si>
    <t>REVENUE EXPENDITURE</t>
  </si>
  <si>
    <t>STAFFING COSTS</t>
  </si>
  <si>
    <t>TOTAL STAFFING COSTS</t>
  </si>
  <si>
    <t>0610</t>
  </si>
  <si>
    <t>PREMISES COSTS</t>
  </si>
  <si>
    <t>Other Cleaning Costs</t>
  </si>
  <si>
    <t>Prof fees - Payroll/HR/Acc Tech</t>
  </si>
  <si>
    <t>Bank charges</t>
  </si>
  <si>
    <t>TOTAL PREMISES COSTS</t>
  </si>
  <si>
    <t>EDUCATIONAL PROVISION COSTS</t>
  </si>
  <si>
    <t>Sports Grant Eq/Resources</t>
  </si>
  <si>
    <t>Music lessons</t>
  </si>
  <si>
    <t>Prof Fees - Advisors, Learning Resources</t>
  </si>
  <si>
    <t>Hercules class</t>
  </si>
  <si>
    <t>Pegasus class</t>
  </si>
  <si>
    <t>Phoenix class</t>
  </si>
  <si>
    <t>Chameleon class</t>
  </si>
  <si>
    <t xml:space="preserve">Music </t>
  </si>
  <si>
    <t>Furniture &amp; Equipment</t>
  </si>
  <si>
    <t>TOTAL EDUCATIONAL PROVISION COSTS</t>
  </si>
  <si>
    <t>EXTENDED SERVICES INC &amp; EXP</t>
  </si>
  <si>
    <t>ASC income</t>
  </si>
  <si>
    <t>}11</t>
  </si>
  <si>
    <t>EMC income</t>
  </si>
  <si>
    <t>After School Sports Clubs inc/exp</t>
  </si>
  <si>
    <t>ASC expenditure</t>
  </si>
  <si>
    <t>EMC expenditure</t>
  </si>
  <si>
    <t>TOTAL EXTENDED SERVICES</t>
  </si>
  <si>
    <t>TOTAL  REVENUE EXPENDITURE (B)</t>
  </si>
  <si>
    <t xml:space="preserve">In Year Surplus/Deficit ( A-B ) </t>
  </si>
  <si>
    <t>Year-End Position (Revenue) - Contingency Reserves</t>
  </si>
  <si>
    <t>Contingency /Deficit</t>
  </si>
  <si>
    <t>PROJECTED REVENUE YR END BALANCE</t>
  </si>
  <si>
    <t>Formula Capital Rollover b/fwd from 2018/19</t>
  </si>
  <si>
    <t>Formula Capital - LA income</t>
  </si>
  <si>
    <t>Formula Capital Expenditure (non IT)</t>
  </si>
  <si>
    <t>Formula Capital Expenditure - IT Equipment</t>
  </si>
  <si>
    <t>PROJECTED CAPITAL YR END BALANCE</t>
  </si>
  <si>
    <t>YEAR END FORECAST (REV + CAP)</t>
  </si>
  <si>
    <t xml:space="preserve">GRAND TOTAL </t>
  </si>
  <si>
    <t>Check totals</t>
  </si>
  <si>
    <t>Grand Totals:</t>
  </si>
  <si>
    <t>(FMS Cost Centre Total)</t>
  </si>
  <si>
    <t>Difference - ( this should be zero)</t>
  </si>
  <si>
    <t>Notes:</t>
  </si>
  <si>
    <t>Includes uncommitted c/f of £48,202; unspent PPG £5,296 and unspent Sports Grant £18,136</t>
  </si>
  <si>
    <t xml:space="preserve">UIFSM income estimated -actual won't be confirmed by LA until June 2020 </t>
  </si>
  <si>
    <t>Unexpected donation of £5,000 received from parent.  Anticipated £500 donation from KL Scarecrows 2019</t>
  </si>
  <si>
    <t>Teacher pay awards from Sept '19 including spinal point increases not yet confirmed or processed but included in forecast</t>
  </si>
  <si>
    <t>Budgeted for HT increase to LSP15 from 01.09.19 but max grade is LSP14 for current Headteacher Range</t>
  </si>
  <si>
    <t>TA forecast underspend due to TA resignation July 2019 and replaced with TA who couldn't do as many hours</t>
  </si>
  <si>
    <t>note £1,699 in this budget for Sports Grant TA support - not in place as yet but assume it will be</t>
  </si>
  <si>
    <t>More TA supply needed in Terms 5 &amp; 6 (2018/19 ac yr) than anticipated</t>
  </si>
  <si>
    <t>Redecoration works budgeted for but may need to wait until 2020/21 - will review in January</t>
  </si>
  <si>
    <t>Sports Grant - monitored separately. Full grant unlikely to be spent by end of 2019/20 financial year</t>
  </si>
  <si>
    <t>Swimming restarts in Jan 2020, hoping for higher level of parental contributions in future - monitored separately</t>
  </si>
  <si>
    <t>ASC bookings from Sept 19 higher than ancipated.  Monitored separately with expenditure, forecast year end profit approx £2K</t>
  </si>
  <si>
    <t>After school sports clubs generating profit as anticipated</t>
  </si>
  <si>
    <t>No further capital purchases before April 2020 in the pipeline at present</t>
  </si>
  <si>
    <t>Lizzy Moor - Finance Officer - 10.10.19</t>
  </si>
  <si>
    <t>INCOME &amp; EXPENDITURE RETURN</t>
  </si>
  <si>
    <t>Schedule D1 (a)</t>
  </si>
  <si>
    <t>School name:</t>
  </si>
  <si>
    <t>Quarter ended:</t>
  </si>
  <si>
    <t>DfE No.</t>
  </si>
  <si>
    <t>Actual to</t>
  </si>
  <si>
    <t>Forecast to</t>
  </si>
  <si>
    <t>quarter end</t>
  </si>
  <si>
    <t>Year end</t>
  </si>
  <si>
    <t>CFR</t>
  </si>
  <si>
    <t>£</t>
  </si>
  <si>
    <t>Line</t>
  </si>
  <si>
    <t>REVENUE</t>
  </si>
  <si>
    <t>Funds delegated by the LA</t>
  </si>
  <si>
    <t>I01</t>
  </si>
  <si>
    <t>Funding for 6th form students</t>
  </si>
  <si>
    <t>I02</t>
  </si>
  <si>
    <t>High Needs Top Up funding (inc NPA)</t>
  </si>
  <si>
    <t>I03</t>
  </si>
  <si>
    <t>Pupil Premium</t>
  </si>
  <si>
    <t>I05</t>
  </si>
  <si>
    <t>Other Government Grants</t>
  </si>
  <si>
    <t>I06</t>
  </si>
  <si>
    <t>Other Grants &amp; Payments Received</t>
  </si>
  <si>
    <t>I07</t>
  </si>
  <si>
    <t>Other Income</t>
  </si>
  <si>
    <t>I08-I13</t>
  </si>
  <si>
    <t>Extended Schools</t>
  </si>
  <si>
    <t>I15-I17</t>
  </si>
  <si>
    <t>Additional Grant for Schools</t>
  </si>
  <si>
    <t>I18</t>
  </si>
  <si>
    <t>TOTAL INCOME</t>
  </si>
  <si>
    <t>(a)</t>
  </si>
  <si>
    <t>Teaching/Supply Staff</t>
  </si>
  <si>
    <t>E01-E02/E26</t>
  </si>
  <si>
    <t>Support Staff</t>
  </si>
  <si>
    <t>E03-E07</t>
  </si>
  <si>
    <t>Indirect Employee Expenses/Training</t>
  </si>
  <si>
    <t>E08-E11</t>
  </si>
  <si>
    <t>Building/Grounds Maint &amp; Improvmts</t>
  </si>
  <si>
    <t>E12-E13</t>
  </si>
  <si>
    <t>Other Premises Costs</t>
  </si>
  <si>
    <t>E14-E18</t>
  </si>
  <si>
    <t>Educational Supplies &amp; Services</t>
  </si>
  <si>
    <t>E19-E21/E27</t>
  </si>
  <si>
    <t xml:space="preserve">Other Costs </t>
  </si>
  <si>
    <t>E22-E25/E28/E30</t>
  </si>
  <si>
    <t xml:space="preserve"> </t>
  </si>
  <si>
    <t>TOTAL EXPENDITURE</t>
  </si>
  <si>
    <t>(b)</t>
  </si>
  <si>
    <t xml:space="preserve">IN YEAR SURPLUS/(DEFICIT) </t>
  </si>
  <si>
    <t>c = (a - b)</t>
  </si>
  <si>
    <t>(c)</t>
  </si>
  <si>
    <t>REVENUE BALANCES B/F</t>
  </si>
  <si>
    <t>Revenue Balances</t>
  </si>
  <si>
    <t>B01/B02</t>
  </si>
  <si>
    <t>(d)</t>
  </si>
  <si>
    <t>REVENUE CARRIED FORWARD</t>
  </si>
  <si>
    <t xml:space="preserve">e = (c + d) </t>
  </si>
  <si>
    <t>(e)</t>
  </si>
  <si>
    <t xml:space="preserve">CAPITAL </t>
  </si>
  <si>
    <t>Capital Income</t>
  </si>
  <si>
    <t>CI01-CI04</t>
  </si>
  <si>
    <t>(f)</t>
  </si>
  <si>
    <t>Capital Expenditure</t>
  </si>
  <si>
    <t>CE01-CE04</t>
  </si>
  <si>
    <t>(g)</t>
  </si>
  <si>
    <t>CAPITAL BALANCES B/F</t>
  </si>
  <si>
    <t>Capital Balances</t>
  </si>
  <si>
    <t>B03/B05</t>
  </si>
  <si>
    <t>(h)</t>
  </si>
  <si>
    <t>CAPITAL CARRIED FORWARD</t>
  </si>
  <si>
    <t>i = (f  - g + h)</t>
  </si>
  <si>
    <t>(i)</t>
  </si>
  <si>
    <t>TOTAL CARRIED F/WD</t>
  </si>
  <si>
    <t>TOTAL CARRIED FORWARD</t>
  </si>
  <si>
    <t>j = (e + i)</t>
  </si>
  <si>
    <t>(j)</t>
  </si>
  <si>
    <t>DECLARATIONS</t>
  </si>
  <si>
    <t>The information contained in this report is, to the best of our knowledge and belief, a fair and true statement of the school's financial</t>
  </si>
  <si>
    <t xml:space="preserve">position at the end of this period. </t>
  </si>
  <si>
    <t>This report was/will be * considered and approved by the Governing Body at their meeting on:</t>
  </si>
  <si>
    <t>*</t>
  </si>
  <si>
    <t>(*delete not applicable)</t>
  </si>
  <si>
    <t>Signed by Chair of Governors:</t>
  </si>
  <si>
    <t>Date:</t>
  </si>
  <si>
    <t>Signed by Responsible officer:</t>
  </si>
  <si>
    <t>CIRCULATION</t>
  </si>
  <si>
    <t>NB: DEADLINE 31 October 2019</t>
  </si>
  <si>
    <t xml:space="preserve">This report should be either:       </t>
  </si>
  <si>
    <t xml:space="preserve">- saved as an image file and sent attached to an email to absupport@wiltshire.gov.uk     </t>
  </si>
  <si>
    <t xml:space="preserve">- uploaded to Perspective Lite with the Finance tag </t>
  </si>
  <si>
    <t>or</t>
  </si>
  <si>
    <t>- sent hard copy to the Accounting &amp; Budget Support Team, County Hall, Trowbridge, Wiltshire, BA14 8JN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</si>
</sst>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£&quot;* #,##0_-;\-&quot;£&quot;* #,##0_-;_-&quot;£&quot;* &quot;-&quot;_-;_-@_-"/>
    <numFmt numFmtId="164" formatCode="General_);[Red]\-General_)"/>
    <numFmt numFmtId="165" formatCode="mmmm\-yy"/>
    <numFmt numFmtId="166" formatCode="0.0%"/>
  </numFmts>
  <fonts count="31" x14ac:knownFonts="1">
    <font>
      <sz val="11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theme="0" tint="-0.14999847407452621"/>
      <name val="Arial"/>
      <family val="2"/>
    </font>
    <font>
      <b/>
      <sz val="10"/>
      <name val="Arial"/>
      <family val="2"/>
    </font>
    <font>
      <b/>
      <i/>
      <sz val="10"/>
      <color theme="3" tint="0.39997558519241921"/>
      <name val="Arial"/>
      <family val="2"/>
    </font>
    <font>
      <b/>
      <i/>
      <sz val="10"/>
      <color rgb="FF0000FF"/>
      <name val="Arial"/>
      <family val="2"/>
    </font>
    <font>
      <b/>
      <sz val="9"/>
      <color indexed="81"/>
      <name val="Tahoma"/>
      <family val="2"/>
    </font>
    <font>
      <sz val="14"/>
      <color indexed="9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2"/>
      <color rgb="FFFF0000"/>
      <name val="Arial"/>
      <family val="2"/>
    </font>
    <font>
      <i/>
      <sz val="8"/>
      <name val="Arial"/>
      <family val="2"/>
    </font>
    <font>
      <u/>
      <sz val="12"/>
      <name val="Arial"/>
      <family val="2"/>
    </font>
    <font>
      <sz val="12"/>
      <name val="Wingdings 2"/>
      <family val="1"/>
      <charset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0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1" fontId="2" fillId="0" borderId="0" xfId="0" applyNumberFormat="1" applyFont="1"/>
    <xf numFmtId="1" fontId="3" fillId="0" borderId="0" xfId="0" applyNumberFormat="1" applyFont="1"/>
    <xf numFmtId="42" fontId="3" fillId="0" borderId="0" xfId="0" applyNumberFormat="1" applyFont="1"/>
    <xf numFmtId="42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1" fillId="0" borderId="0" xfId="0" applyNumberFormat="1" applyFont="1"/>
    <xf numFmtId="42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5" fillId="0" borderId="0" xfId="0" applyNumberFormat="1" applyFont="1"/>
    <xf numFmtId="1" fontId="6" fillId="0" borderId="0" xfId="0" applyNumberFormat="1" applyFont="1" applyAlignment="1">
      <alignment horizontal="left"/>
    </xf>
    <xf numFmtId="1" fontId="6" fillId="0" borderId="0" xfId="0" applyNumberFormat="1" applyFont="1"/>
    <xf numFmtId="42" fontId="6" fillId="0" borderId="0" xfId="0" applyNumberFormat="1" applyFont="1"/>
    <xf numFmtId="1" fontId="6" fillId="0" borderId="0" xfId="0" applyNumberFormat="1" applyFont="1" applyAlignment="1">
      <alignment horizontal="center"/>
    </xf>
    <xf numFmtId="42" fontId="7" fillId="3" borderId="2" xfId="0" applyNumberFormat="1" applyFont="1" applyFill="1" applyBorder="1" applyAlignment="1">
      <alignment wrapText="1"/>
    </xf>
    <xf numFmtId="42" fontId="7" fillId="3" borderId="3" xfId="0" applyNumberFormat="1" applyFont="1" applyFill="1" applyBorder="1" applyAlignment="1">
      <alignment horizontal="center" vertical="center" wrapText="1"/>
    </xf>
    <xf numFmtId="42" fontId="7" fillId="3" borderId="4" xfId="0" applyNumberFormat="1" applyFont="1" applyFill="1" applyBorder="1" applyAlignment="1">
      <alignment horizontal="center" vertical="center" wrapText="1"/>
    </xf>
    <xf numFmtId="42" fontId="8" fillId="0" borderId="3" xfId="0" applyNumberFormat="1" applyFont="1" applyBorder="1" applyAlignment="1">
      <alignment horizontal="center" wrapText="1"/>
    </xf>
    <xf numFmtId="42" fontId="8" fillId="0" borderId="2" xfId="0" applyNumberFormat="1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42" fontId="6" fillId="0" borderId="3" xfId="0" applyNumberFormat="1" applyFont="1" applyBorder="1"/>
    <xf numFmtId="42" fontId="6" fillId="0" borderId="3" xfId="0" applyNumberFormat="1" applyFont="1" applyFill="1" applyBorder="1"/>
    <xf numFmtId="42" fontId="9" fillId="0" borderId="3" xfId="0" applyNumberFormat="1" applyFont="1" applyBorder="1"/>
    <xf numFmtId="1" fontId="6" fillId="0" borderId="3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10" fillId="0" borderId="3" xfId="0" applyNumberFormat="1" applyFont="1" applyBorder="1" applyAlignment="1">
      <alignment horizontal="center"/>
    </xf>
    <xf numFmtId="1" fontId="10" fillId="0" borderId="0" xfId="0" applyNumberFormat="1" applyFont="1"/>
    <xf numFmtId="1" fontId="9" fillId="0" borderId="3" xfId="0" applyNumberFormat="1" applyFont="1" applyBorder="1" applyAlignment="1">
      <alignment horizontal="center"/>
    </xf>
    <xf numFmtId="1" fontId="8" fillId="2" borderId="5" xfId="0" applyNumberFormat="1" applyFont="1" applyFill="1" applyBorder="1"/>
    <xf numFmtId="42" fontId="8" fillId="2" borderId="2" xfId="0" applyNumberFormat="1" applyFont="1" applyFill="1" applyBorder="1"/>
    <xf numFmtId="42" fontId="8" fillId="0" borderId="2" xfId="0" applyNumberFormat="1" applyFont="1" applyFill="1" applyBorder="1"/>
    <xf numFmtId="1" fontId="7" fillId="0" borderId="7" xfId="0" applyNumberFormat="1" applyFont="1" applyFill="1" applyBorder="1"/>
    <xf numFmtId="42" fontId="7" fillId="0" borderId="3" xfId="0" applyNumberFormat="1" applyFont="1" applyFill="1" applyBorder="1"/>
    <xf numFmtId="1" fontId="8" fillId="0" borderId="3" xfId="0" applyNumberFormat="1" applyFont="1" applyFill="1" applyBorder="1" applyAlignment="1">
      <alignment horizontal="center"/>
    </xf>
    <xf numFmtId="1" fontId="11" fillId="0" borderId="7" xfId="0" applyNumberFormat="1" applyFont="1" applyFill="1" applyBorder="1"/>
    <xf numFmtId="1" fontId="6" fillId="0" borderId="3" xfId="0" applyNumberFormat="1" applyFont="1" applyBorder="1"/>
    <xf numFmtId="1" fontId="6" fillId="0" borderId="7" xfId="0" applyNumberFormat="1" applyFont="1" applyBorder="1"/>
    <xf numFmtId="42" fontId="10" fillId="0" borderId="3" xfId="0" applyNumberFormat="1" applyFont="1" applyBorder="1"/>
    <xf numFmtId="1" fontId="11" fillId="0" borderId="5" xfId="0" applyNumberFormat="1" applyFont="1" applyFill="1" applyBorder="1"/>
    <xf numFmtId="42" fontId="7" fillId="0" borderId="2" xfId="0" applyNumberFormat="1" applyFont="1" applyFill="1" applyBorder="1"/>
    <xf numFmtId="1" fontId="6" fillId="0" borderId="0" xfId="0" applyNumberFormat="1" applyFont="1" applyFill="1"/>
    <xf numFmtId="1" fontId="8" fillId="2" borderId="5" xfId="0" applyNumberFormat="1" applyFont="1" applyFill="1" applyBorder="1" applyAlignment="1"/>
    <xf numFmtId="1" fontId="8" fillId="0" borderId="0" xfId="0" applyNumberFormat="1" applyFont="1" applyFill="1" applyBorder="1" applyAlignment="1"/>
    <xf numFmtId="42" fontId="8" fillId="0" borderId="3" xfId="0" applyNumberFormat="1" applyFont="1" applyFill="1" applyBorder="1"/>
    <xf numFmtId="1" fontId="11" fillId="0" borderId="0" xfId="0" applyNumberFormat="1" applyFont="1" applyFill="1" applyBorder="1" applyAlignment="1"/>
    <xf numFmtId="1" fontId="7" fillId="0" borderId="0" xfId="0" applyNumberFormat="1" applyFont="1" applyFill="1" applyBorder="1" applyAlignment="1"/>
    <xf numFmtId="1" fontId="8" fillId="4" borderId="0" xfId="0" applyNumberFormat="1" applyFont="1" applyFill="1" applyBorder="1" applyAlignment="1"/>
    <xf numFmtId="42" fontId="8" fillId="4" borderId="3" xfId="0" applyNumberFormat="1" applyFont="1" applyFill="1" applyBorder="1"/>
    <xf numFmtId="1" fontId="7" fillId="2" borderId="0" xfId="0" applyNumberFormat="1" applyFont="1" applyFill="1" applyBorder="1"/>
    <xf numFmtId="42" fontId="7" fillId="2" borderId="3" xfId="0" applyNumberFormat="1" applyFont="1" applyFill="1" applyBorder="1"/>
    <xf numFmtId="1" fontId="12" fillId="2" borderId="3" xfId="0" applyNumberFormat="1" applyFont="1" applyFill="1" applyBorder="1" applyAlignment="1">
      <alignment horizontal="center"/>
    </xf>
    <xf numFmtId="1" fontId="1" fillId="2" borderId="0" xfId="0" applyNumberFormat="1" applyFont="1" applyFill="1" applyBorder="1"/>
    <xf numFmtId="42" fontId="13" fillId="2" borderId="3" xfId="0" applyNumberFormat="1" applyFont="1" applyFill="1" applyBorder="1"/>
    <xf numFmtId="42" fontId="14" fillId="2" borderId="3" xfId="0" applyNumberFormat="1" applyFont="1" applyFill="1" applyBorder="1"/>
    <xf numFmtId="42" fontId="14" fillId="0" borderId="3" xfId="0" applyNumberFormat="1" applyFont="1" applyFill="1" applyBorder="1"/>
    <xf numFmtId="42" fontId="13" fillId="0" borderId="3" xfId="0" applyNumberFormat="1" applyFont="1" applyFill="1" applyBorder="1"/>
    <xf numFmtId="42" fontId="1" fillId="2" borderId="3" xfId="0" applyNumberFormat="1" applyFont="1" applyFill="1" applyBorder="1"/>
    <xf numFmtId="1" fontId="12" fillId="2" borderId="7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1" fontId="7" fillId="0" borderId="10" xfId="0" applyNumberFormat="1" applyFont="1" applyFill="1" applyBorder="1"/>
    <xf numFmtId="42" fontId="15" fillId="0" borderId="1" xfId="0" applyNumberFormat="1" applyFont="1" applyBorder="1"/>
    <xf numFmtId="9" fontId="7" fillId="0" borderId="4" xfId="0" applyNumberFormat="1" applyFont="1" applyBorder="1"/>
    <xf numFmtId="1" fontId="6" fillId="0" borderId="4" xfId="0" applyNumberFormat="1" applyFont="1" applyBorder="1" applyAlignment="1">
      <alignment horizontal="center"/>
    </xf>
    <xf numFmtId="1" fontId="7" fillId="5" borderId="11" xfId="0" applyNumberFormat="1" applyFont="1" applyFill="1" applyBorder="1"/>
    <xf numFmtId="42" fontId="9" fillId="5" borderId="4" xfId="0" applyNumberFormat="1" applyFont="1" applyFill="1" applyBorder="1"/>
    <xf numFmtId="42" fontId="7" fillId="5" borderId="4" xfId="0" applyNumberFormat="1" applyFont="1" applyFill="1" applyBorder="1"/>
    <xf numFmtId="42" fontId="6" fillId="0" borderId="4" xfId="0" applyNumberFormat="1" applyFont="1" applyBorder="1"/>
    <xf numFmtId="1" fontId="7" fillId="5" borderId="5" xfId="0" applyNumberFormat="1" applyFont="1" applyFill="1" applyBorder="1" applyAlignment="1"/>
    <xf numFmtId="42" fontId="7" fillId="5" borderId="2" xfId="0" applyNumberFormat="1" applyFont="1" applyFill="1" applyBorder="1"/>
    <xf numFmtId="42" fontId="7" fillId="5" borderId="3" xfId="0" applyNumberFormat="1" applyFont="1" applyFill="1" applyBorder="1"/>
    <xf numFmtId="1" fontId="7" fillId="5" borderId="12" xfId="0" applyNumberFormat="1" applyFont="1" applyFill="1" applyBorder="1"/>
    <xf numFmtId="42" fontId="7" fillId="5" borderId="12" xfId="0" applyNumberFormat="1" applyFont="1" applyFill="1" applyBorder="1"/>
    <xf numFmtId="1" fontId="7" fillId="0" borderId="13" xfId="0" applyNumberFormat="1" applyFont="1" applyFill="1" applyBorder="1"/>
    <xf numFmtId="1" fontId="7" fillId="0" borderId="14" xfId="0" applyNumberFormat="1" applyFont="1" applyFill="1" applyBorder="1"/>
    <xf numFmtId="42" fontId="15" fillId="0" borderId="15" xfId="0" applyNumberFormat="1" applyFont="1" applyBorder="1"/>
    <xf numFmtId="49" fontId="6" fillId="0" borderId="0" xfId="0" applyNumberFormat="1" applyFont="1" applyBorder="1" applyAlignment="1">
      <alignment horizontal="center"/>
    </xf>
    <xf numFmtId="1" fontId="7" fillId="0" borderId="0" xfId="0" applyNumberFormat="1" applyFont="1" applyFill="1" applyBorder="1"/>
    <xf numFmtId="42" fontId="15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42" fontId="6" fillId="0" borderId="0" xfId="0" applyNumberFormat="1" applyFont="1" applyBorder="1"/>
    <xf numFmtId="1" fontId="16" fillId="0" borderId="13" xfId="0" applyNumberFormat="1" applyFont="1" applyBorder="1" applyAlignment="1">
      <alignment horizontal="left"/>
    </xf>
    <xf numFmtId="1" fontId="16" fillId="0" borderId="14" xfId="0" applyNumberFormat="1" applyFont="1" applyBorder="1"/>
    <xf numFmtId="42" fontId="16" fillId="0" borderId="15" xfId="0" applyNumberFormat="1" applyFont="1" applyBorder="1" applyAlignment="1">
      <alignment horizontal="right"/>
    </xf>
    <xf numFmtId="42" fontId="16" fillId="0" borderId="13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center"/>
    </xf>
    <xf numFmtId="1" fontId="12" fillId="0" borderId="0" xfId="0" applyNumberFormat="1" applyFont="1"/>
    <xf numFmtId="1" fontId="12" fillId="0" borderId="13" xfId="0" applyNumberFormat="1" applyFont="1" applyBorder="1"/>
    <xf numFmtId="42" fontId="16" fillId="0" borderId="15" xfId="0" applyNumberFormat="1" applyFont="1" applyFill="1" applyBorder="1"/>
    <xf numFmtId="42" fontId="12" fillId="0" borderId="15" xfId="0" applyNumberFormat="1" applyFont="1" applyFill="1" applyBorder="1"/>
    <xf numFmtId="42" fontId="6" fillId="0" borderId="16" xfId="0" applyNumberFormat="1" applyFont="1" applyFill="1" applyBorder="1"/>
    <xf numFmtId="1" fontId="7" fillId="0" borderId="0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left" indent="1"/>
    </xf>
    <xf numFmtId="1" fontId="9" fillId="0" borderId="0" xfId="0" applyNumberFormat="1" applyFont="1" applyAlignment="1">
      <alignment horizontal="left" indent="1"/>
    </xf>
    <xf numFmtId="1" fontId="9" fillId="0" borderId="0" xfId="0" applyNumberFormat="1" applyFont="1"/>
    <xf numFmtId="42" fontId="9" fillId="0" borderId="0" xfId="0" applyNumberFormat="1" applyFont="1"/>
    <xf numFmtId="1" fontId="7" fillId="0" borderId="0" xfId="0" applyNumberFormat="1" applyFont="1"/>
    <xf numFmtId="1" fontId="8" fillId="2" borderId="5" xfId="0" applyNumberFormat="1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1" fontId="8" fillId="2" borderId="7" xfId="0" applyNumberFormat="1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0" fontId="0" fillId="0" borderId="0" xfId="0" applyAlignment="1"/>
    <xf numFmtId="1" fontId="7" fillId="3" borderId="2" xfId="0" applyNumberFormat="1" applyFont="1" applyFill="1" applyBorder="1" applyAlignment="1">
      <alignment horizontal="left" wrapText="1"/>
    </xf>
    <xf numFmtId="1" fontId="6" fillId="3" borderId="3" xfId="0" applyNumberFormat="1" applyFont="1" applyFill="1" applyBorder="1" applyAlignment="1">
      <alignment horizontal="left" wrapText="1"/>
    </xf>
    <xf numFmtId="1" fontId="6" fillId="3" borderId="4" xfId="0" applyNumberFormat="1" applyFont="1" applyFill="1" applyBorder="1" applyAlignment="1">
      <alignment horizontal="left" wrapText="1"/>
    </xf>
    <xf numFmtId="42" fontId="7" fillId="3" borderId="2" xfId="0" applyNumberFormat="1" applyFont="1" applyFill="1" applyBorder="1" applyAlignment="1">
      <alignment horizontal="center" vertical="center" wrapText="1"/>
    </xf>
    <xf numFmtId="42" fontId="6" fillId="3" borderId="3" xfId="0" applyNumberFormat="1" applyFont="1" applyFill="1" applyBorder="1" applyAlignment="1">
      <alignment horizontal="center" vertical="center" wrapText="1"/>
    </xf>
    <xf numFmtId="42" fontId="6" fillId="3" borderId="4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64" fontId="0" fillId="6" borderId="17" xfId="0" applyNumberFormat="1" applyFill="1" applyBorder="1" applyProtection="1"/>
    <xf numFmtId="164" fontId="19" fillId="6" borderId="18" xfId="0" applyNumberFormat="1" applyFont="1" applyFill="1" applyBorder="1" applyProtection="1"/>
    <xf numFmtId="164" fontId="20" fillId="6" borderId="18" xfId="0" applyNumberFormat="1" applyFont="1" applyFill="1" applyBorder="1" applyProtection="1"/>
    <xf numFmtId="164" fontId="21" fillId="6" borderId="18" xfId="0" applyNumberFormat="1" applyFont="1" applyFill="1" applyBorder="1" applyProtection="1"/>
    <xf numFmtId="164" fontId="21" fillId="6" borderId="19" xfId="0" applyNumberFormat="1" applyFont="1" applyFill="1" applyBorder="1" applyProtection="1"/>
    <xf numFmtId="0" fontId="22" fillId="0" borderId="0" xfId="0" applyFont="1" applyAlignment="1">
      <alignment horizontal="center"/>
    </xf>
    <xf numFmtId="164" fontId="0" fillId="0" borderId="20" xfId="0" applyNumberFormat="1" applyBorder="1" applyProtection="1"/>
    <xf numFmtId="164" fontId="0" fillId="0" borderId="0" xfId="0" applyNumberFormat="1" applyProtection="1"/>
    <xf numFmtId="164" fontId="23" fillId="0" borderId="21" xfId="0" applyNumberFormat="1" applyFont="1" applyBorder="1" applyProtection="1"/>
    <xf numFmtId="0" fontId="0" fillId="0" borderId="0" xfId="0" applyFill="1"/>
    <xf numFmtId="164" fontId="24" fillId="0" borderId="0" xfId="0" applyNumberFormat="1" applyFont="1" applyBorder="1" applyProtection="1"/>
    <xf numFmtId="164" fontId="0" fillId="0" borderId="9" xfId="0" applyNumberFormat="1" applyBorder="1" applyProtection="1"/>
    <xf numFmtId="164" fontId="0" fillId="0" borderId="10" xfId="0" applyNumberFormat="1" applyBorder="1" applyProtection="1"/>
    <xf numFmtId="164" fontId="0" fillId="0" borderId="22" xfId="0" applyNumberFormat="1" applyBorder="1" applyProtection="1"/>
    <xf numFmtId="165" fontId="0" fillId="0" borderId="23" xfId="0" applyNumberFormat="1" applyBorder="1" applyAlignment="1" applyProtection="1">
      <alignment horizontal="center"/>
    </xf>
    <xf numFmtId="164" fontId="0" fillId="0" borderId="0" xfId="0" applyNumberFormat="1" applyBorder="1" applyProtection="1"/>
    <xf numFmtId="164" fontId="0" fillId="0" borderId="24" xfId="0" applyNumberFormat="1" applyBorder="1" applyProtection="1"/>
    <xf numFmtId="164" fontId="0" fillId="0" borderId="25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21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21" xfId="0" applyNumberFormat="1" applyBorder="1" applyProtection="1"/>
    <xf numFmtId="164" fontId="21" fillId="0" borderId="20" xfId="0" applyNumberFormat="1" applyFont="1" applyFill="1" applyBorder="1" applyProtection="1"/>
    <xf numFmtId="164" fontId="21" fillId="6" borderId="20" xfId="0" applyNumberFormat="1" applyFont="1" applyFill="1" applyBorder="1" applyProtection="1"/>
    <xf numFmtId="3" fontId="0" fillId="0" borderId="26" xfId="0" applyNumberFormat="1" applyBorder="1" applyProtection="1"/>
    <xf numFmtId="3" fontId="0" fillId="0" borderId="0" xfId="0" applyNumberFormat="1" applyProtection="1"/>
    <xf numFmtId="3" fontId="0" fillId="0" borderId="23" xfId="0" applyNumberFormat="1" applyBorder="1" applyProtection="1"/>
    <xf numFmtId="0" fontId="25" fillId="0" borderId="0" xfId="0" applyFont="1" applyAlignment="1">
      <alignment horizontal="left"/>
    </xf>
    <xf numFmtId="0" fontId="25" fillId="0" borderId="0" xfId="0" applyFont="1"/>
    <xf numFmtId="164" fontId="26" fillId="0" borderId="20" xfId="0" applyNumberFormat="1" applyFont="1" applyBorder="1" applyProtection="1"/>
    <xf numFmtId="164" fontId="26" fillId="0" borderId="0" xfId="0" applyNumberFormat="1" applyFont="1" applyProtection="1"/>
    <xf numFmtId="3" fontId="27" fillId="0" borderId="0" xfId="0" applyNumberFormat="1" applyFont="1" applyAlignment="1" applyProtection="1">
      <alignment horizontal="right"/>
    </xf>
    <xf numFmtId="3" fontId="26" fillId="0" borderId="26" xfId="0" applyNumberFormat="1" applyFont="1" applyBorder="1" applyProtection="1"/>
    <xf numFmtId="3" fontId="27" fillId="0" borderId="0" xfId="0" applyNumberFormat="1" applyFont="1" applyProtection="1"/>
    <xf numFmtId="3" fontId="26" fillId="0" borderId="23" xfId="0" applyNumberFormat="1" applyFont="1" applyBorder="1" applyProtection="1"/>
    <xf numFmtId="3" fontId="0" fillId="0" borderId="21" xfId="0" applyNumberFormat="1" applyBorder="1" applyProtection="1"/>
    <xf numFmtId="0" fontId="26" fillId="0" borderId="0" xfId="0" applyFont="1"/>
    <xf numFmtId="3" fontId="0" fillId="0" borderId="0" xfId="0" applyNumberFormat="1" applyBorder="1" applyProtection="1"/>
    <xf numFmtId="164" fontId="27" fillId="0" borderId="0" xfId="0" applyNumberFormat="1" applyFont="1" applyAlignment="1" applyProtection="1">
      <alignment horizontal="right"/>
    </xf>
    <xf numFmtId="164" fontId="27" fillId="0" borderId="0" xfId="0" applyNumberFormat="1" applyFont="1" applyAlignment="1" applyProtection="1">
      <alignment horizontal="center"/>
    </xf>
    <xf numFmtId="3" fontId="26" fillId="0" borderId="27" xfId="0" applyNumberFormat="1" applyFont="1" applyBorder="1" applyProtection="1"/>
    <xf numFmtId="3" fontId="26" fillId="0" borderId="0" xfId="0" applyNumberFormat="1" applyFont="1" applyAlignment="1" applyProtection="1">
      <alignment horizontal="center"/>
    </xf>
    <xf numFmtId="3" fontId="26" fillId="0" borderId="0" xfId="0" applyNumberFormat="1" applyFont="1" applyProtection="1"/>
    <xf numFmtId="3" fontId="26" fillId="0" borderId="21" xfId="0" applyNumberFormat="1" applyFont="1" applyBorder="1" applyProtection="1"/>
    <xf numFmtId="164" fontId="21" fillId="7" borderId="20" xfId="0" applyNumberFormat="1" applyFont="1" applyFill="1" applyBorder="1" applyProtection="1"/>
    <xf numFmtId="164" fontId="27" fillId="0" borderId="0" xfId="0" applyNumberFormat="1" applyFont="1" applyProtection="1"/>
    <xf numFmtId="164" fontId="26" fillId="0" borderId="0" xfId="0" applyNumberFormat="1" applyFont="1" applyBorder="1" applyProtection="1"/>
    <xf numFmtId="3" fontId="27" fillId="0" borderId="0" xfId="0" applyNumberFormat="1" applyFont="1" applyAlignment="1" applyProtection="1">
      <alignment horizontal="center"/>
    </xf>
    <xf numFmtId="166" fontId="26" fillId="0" borderId="0" xfId="0" applyNumberFormat="1" applyFont="1" applyBorder="1" applyAlignment="1">
      <alignment horizontal="center"/>
    </xf>
    <xf numFmtId="3" fontId="0" fillId="0" borderId="28" xfId="0" applyNumberFormat="1" applyBorder="1" applyProtection="1"/>
    <xf numFmtId="3" fontId="0" fillId="0" borderId="29" xfId="0" applyNumberFormat="1" applyBorder="1" applyProtection="1"/>
    <xf numFmtId="164" fontId="0" fillId="0" borderId="30" xfId="0" applyNumberFormat="1" applyBorder="1" applyProtection="1"/>
    <xf numFmtId="3" fontId="26" fillId="0" borderId="19" xfId="0" applyNumberFormat="1" applyFont="1" applyBorder="1" applyProtection="1"/>
    <xf numFmtId="164" fontId="0" fillId="0" borderId="31" xfId="0" applyNumberFormat="1" applyBorder="1" applyProtection="1"/>
    <xf numFmtId="164" fontId="0" fillId="0" borderId="32" xfId="0" applyNumberFormat="1" applyBorder="1" applyProtection="1"/>
    <xf numFmtId="164" fontId="0" fillId="0" borderId="33" xfId="0" applyNumberFormat="1" applyBorder="1" applyProtection="1"/>
    <xf numFmtId="164" fontId="0" fillId="0" borderId="34" xfId="0" applyNumberFormat="1" applyBorder="1" applyProtection="1">
      <protection locked="0"/>
    </xf>
    <xf numFmtId="164" fontId="28" fillId="0" borderId="20" xfId="0" applyNumberFormat="1" applyFont="1" applyBorder="1" applyAlignment="1" applyProtection="1">
      <alignment horizontal="center"/>
    </xf>
    <xf numFmtId="164" fontId="0" fillId="0" borderId="35" xfId="0" applyNumberFormat="1" applyBorder="1" applyProtection="1">
      <protection locked="0"/>
    </xf>
    <xf numFmtId="164" fontId="0" fillId="0" borderId="36" xfId="0" applyNumberFormat="1" applyBorder="1" applyProtection="1"/>
    <xf numFmtId="164" fontId="29" fillId="0" borderId="0" xfId="0" applyNumberFormat="1" applyFont="1" applyBorder="1" applyProtection="1"/>
    <xf numFmtId="164" fontId="27" fillId="0" borderId="20" xfId="0" applyNumberFormat="1" applyFont="1" applyBorder="1" applyProtection="1"/>
    <xf numFmtId="164" fontId="27" fillId="0" borderId="20" xfId="0" quotePrefix="1" applyNumberFormat="1" applyFont="1" applyBorder="1" applyProtection="1"/>
    <xf numFmtId="164" fontId="27" fillId="0" borderId="0" xfId="0" applyNumberFormat="1" applyFont="1" applyAlignment="1" applyProtection="1">
      <alignment horizontal="left"/>
    </xf>
    <xf numFmtId="164" fontId="27" fillId="0" borderId="37" xfId="0" quotePrefix="1" applyNumberFormat="1" applyFont="1" applyBorder="1" applyProtection="1"/>
    <xf numFmtId="164" fontId="27" fillId="0" borderId="36" xfId="0" applyNumberFormat="1" applyFont="1" applyBorder="1" applyProtection="1"/>
    <xf numFmtId="164" fontId="0" fillId="0" borderId="38" xfId="0" applyNumberFormat="1" applyBorder="1" applyProtection="1"/>
  </cellXfs>
  <cellStyles count="1">
    <cellStyle name="Normal" xfId="0" builtinId="0"/>
  </cellStyles>
  <dxfs count="1"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%20MONITORING/Budget%20Monitoring%202019-20/New%20style%20BM%20report%20for%20Sept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&amp;E%20Return%20Sept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Tips"/>
      <sheetName val="Monitoring Report"/>
      <sheetName val="Cost Centre Summary"/>
    </sheetNames>
    <sheetDataSet>
      <sheetData sheetId="0"/>
      <sheetData sheetId="1"/>
      <sheetData sheetId="2">
        <row r="2">
          <cell r="A2" t="str">
            <v>General Ledger Cost Centre - Summary by Cost Centre</v>
          </cell>
        </row>
        <row r="5">
          <cell r="A5" t="str">
            <v>Selection:</v>
          </cell>
        </row>
        <row r="8">
          <cell r="A8" t="str">
            <v>Financial Year - 2019/20</v>
          </cell>
        </row>
        <row r="9">
          <cell r="A9" t="str">
            <v>Fund - All</v>
          </cell>
        </row>
        <row r="10">
          <cell r="A10" t="str">
            <v>From Date: - N/A</v>
          </cell>
        </row>
        <row r="11">
          <cell r="A11" t="str">
            <v>To Date: - N/A</v>
          </cell>
          <cell r="B11" t="str">
            <v>Description</v>
          </cell>
          <cell r="H11" t="str">
            <v>Allocated</v>
          </cell>
          <cell r="J11" t="str">
            <v>Commitment</v>
          </cell>
          <cell r="N11" t="str">
            <v>Actual</v>
          </cell>
        </row>
        <row r="12">
          <cell r="A12" t="str">
            <v xml:space="preserve">Show movement up to given period - N/A </v>
          </cell>
        </row>
        <row r="13">
          <cell r="A13" t="str">
            <v>01001</v>
          </cell>
          <cell r="B13" t="str">
            <v>Full/Part-time Teachers</v>
          </cell>
          <cell r="H13">
            <v>142492</v>
          </cell>
          <cell r="J13">
            <v>71426.179999999993</v>
          </cell>
          <cell r="N13">
            <v>65542.210000000006</v>
          </cell>
        </row>
        <row r="14">
          <cell r="A14" t="str">
            <v>Cost Centre - All</v>
          </cell>
        </row>
        <row r="15">
          <cell r="A15" t="str">
            <v>01002</v>
          </cell>
          <cell r="B15" t="str">
            <v>Heads &amp; Deputies</v>
          </cell>
          <cell r="H15">
            <v>92875</v>
          </cell>
          <cell r="J15">
            <v>45894.840000000004</v>
          </cell>
          <cell r="N15">
            <v>43936.4</v>
          </cell>
        </row>
        <row r="16">
          <cell r="A16" t="str">
            <v>User:</v>
          </cell>
          <cell r="B16" t="str">
            <v>EM</v>
          </cell>
          <cell r="C16" t="str">
            <v>Establishment:</v>
          </cell>
          <cell r="D16" t="str">
            <v>Langley Fitzurse C.E. School</v>
          </cell>
        </row>
        <row r="17">
          <cell r="A17" t="str">
            <v>01003</v>
          </cell>
          <cell r="B17" t="str">
            <v>General Absence Supply</v>
          </cell>
          <cell r="H17">
            <v>2400</v>
          </cell>
          <cell r="J17">
            <v>0</v>
          </cell>
          <cell r="N17">
            <v>675</v>
          </cell>
        </row>
        <row r="19">
          <cell r="A19" t="str">
            <v>01004</v>
          </cell>
          <cell r="B19" t="str">
            <v>Report Writing Supply</v>
          </cell>
          <cell r="H19">
            <v>0</v>
          </cell>
          <cell r="J19">
            <v>0</v>
          </cell>
          <cell r="N19">
            <v>0</v>
          </cell>
        </row>
        <row r="21">
          <cell r="A21" t="str">
            <v>01005</v>
          </cell>
          <cell r="B21" t="str">
            <v>Subject Leadership Supply</v>
          </cell>
          <cell r="H21">
            <v>1280</v>
          </cell>
          <cell r="J21">
            <v>145</v>
          </cell>
          <cell r="N21">
            <v>0</v>
          </cell>
        </row>
        <row r="23">
          <cell r="A23" t="str">
            <v>02001</v>
          </cell>
          <cell r="B23" t="str">
            <v>Teaching Assistants</v>
          </cell>
          <cell r="H23">
            <v>59245</v>
          </cell>
          <cell r="J23">
            <v>27959.74</v>
          </cell>
          <cell r="N23">
            <v>25265.72</v>
          </cell>
        </row>
        <row r="25">
          <cell r="A25" t="str">
            <v>02002</v>
          </cell>
          <cell r="B25" t="str">
            <v>MDSAs</v>
          </cell>
          <cell r="H25">
            <v>11524</v>
          </cell>
          <cell r="J25">
            <v>5393.29</v>
          </cell>
          <cell r="N25">
            <v>5695.72</v>
          </cell>
        </row>
        <row r="27">
          <cell r="A27" t="str">
            <v>02022</v>
          </cell>
          <cell r="B27" t="str">
            <v>Numeracy</v>
          </cell>
          <cell r="H27">
            <v>500</v>
          </cell>
          <cell r="J27">
            <v>81</v>
          </cell>
          <cell r="N27">
            <v>333.19</v>
          </cell>
        </row>
        <row r="29">
          <cell r="A29" t="str">
            <v>03001</v>
          </cell>
          <cell r="B29" t="str">
            <v>Administrative &amp; Clerical</v>
          </cell>
          <cell r="H29">
            <v>43547</v>
          </cell>
          <cell r="J29">
            <v>21105.21</v>
          </cell>
          <cell r="N29">
            <v>21720.9</v>
          </cell>
        </row>
        <row r="31">
          <cell r="A31" t="str">
            <v>04001</v>
          </cell>
          <cell r="B31" t="str">
            <v>Apprenticeship Levy</v>
          </cell>
          <cell r="H31">
            <v>1327</v>
          </cell>
          <cell r="J31">
            <v>0</v>
          </cell>
          <cell r="N31">
            <v>328.19</v>
          </cell>
        </row>
        <row r="33">
          <cell r="A33" t="str">
            <v>04002</v>
          </cell>
          <cell r="B33" t="str">
            <v>Supply Insurance</v>
          </cell>
          <cell r="H33">
            <v>3899</v>
          </cell>
          <cell r="J33">
            <v>0</v>
          </cell>
          <cell r="N33">
            <v>1917.76</v>
          </cell>
        </row>
        <row r="35">
          <cell r="A35" t="str">
            <v>04003</v>
          </cell>
          <cell r="B35" t="str">
            <v>Travel Costs</v>
          </cell>
          <cell r="H35">
            <v>0</v>
          </cell>
          <cell r="J35">
            <v>0</v>
          </cell>
          <cell r="N35">
            <v>13.05</v>
          </cell>
        </row>
        <row r="37">
          <cell r="A37" t="str">
            <v>05001</v>
          </cell>
          <cell r="B37" t="str">
            <v>Grounds Maintenance</v>
          </cell>
          <cell r="H37">
            <v>1514</v>
          </cell>
          <cell r="J37">
            <v>964.95</v>
          </cell>
          <cell r="N37">
            <v>476.75</v>
          </cell>
        </row>
        <row r="39">
          <cell r="A39" t="str">
            <v>05002</v>
          </cell>
          <cell r="B39" t="str">
            <v>Planned Improvements</v>
          </cell>
          <cell r="H39">
            <v>2000</v>
          </cell>
          <cell r="J39">
            <v>0</v>
          </cell>
          <cell r="N39">
            <v>0</v>
          </cell>
        </row>
        <row r="41">
          <cell r="A41" t="str">
            <v>05003</v>
          </cell>
          <cell r="B41" t="str">
            <v>Repairs &amp; Maintenance</v>
          </cell>
          <cell r="H41">
            <v>4205</v>
          </cell>
          <cell r="J41">
            <v>1690.68</v>
          </cell>
          <cell r="N41">
            <v>1914.93</v>
          </cell>
        </row>
        <row r="43">
          <cell r="A43" t="str">
            <v>05004</v>
          </cell>
          <cell r="B43" t="str">
            <v>Compliance &amp; Reactive Repairs</v>
          </cell>
          <cell r="H43">
            <v>3744</v>
          </cell>
          <cell r="J43">
            <v>0</v>
          </cell>
          <cell r="N43">
            <v>2037.54</v>
          </cell>
        </row>
        <row r="45">
          <cell r="A45" t="str">
            <v>05005</v>
          </cell>
          <cell r="B45" t="str">
            <v>Formula Capital</v>
          </cell>
          <cell r="H45">
            <v>10364</v>
          </cell>
          <cell r="J45">
            <v>0</v>
          </cell>
          <cell r="N45">
            <v>-512.5</v>
          </cell>
        </row>
        <row r="47">
          <cell r="A47" t="str">
            <v>05006</v>
          </cell>
          <cell r="B47" t="str">
            <v>NOT IN USE 11</v>
          </cell>
          <cell r="H47">
            <v>0</v>
          </cell>
          <cell r="J47">
            <v>0</v>
          </cell>
          <cell r="N47">
            <v>0</v>
          </cell>
        </row>
        <row r="49">
          <cell r="A49" t="str">
            <v>06001</v>
          </cell>
          <cell r="B49" t="str">
            <v>Caretakers/Cleaners</v>
          </cell>
          <cell r="H49">
            <v>10854</v>
          </cell>
          <cell r="J49">
            <v>5923.29</v>
          </cell>
          <cell r="N49">
            <v>6442.91</v>
          </cell>
        </row>
        <row r="51">
          <cell r="A51" t="str">
            <v>06002</v>
          </cell>
          <cell r="B51" t="str">
            <v>Other Cleaning costs</v>
          </cell>
          <cell r="H51">
            <v>700</v>
          </cell>
          <cell r="J51">
            <v>0</v>
          </cell>
          <cell r="N51">
            <v>560.04999999999995</v>
          </cell>
        </row>
        <row r="53">
          <cell r="A53" t="str">
            <v>06003</v>
          </cell>
          <cell r="B53" t="str">
            <v>Energy</v>
          </cell>
          <cell r="H53">
            <v>4840</v>
          </cell>
          <cell r="J53">
            <v>0</v>
          </cell>
          <cell r="N53">
            <v>1318.92</v>
          </cell>
        </row>
        <row r="55">
          <cell r="A55" t="str">
            <v>06004</v>
          </cell>
          <cell r="B55" t="str">
            <v>Rates &amp; Rents</v>
          </cell>
          <cell r="H55">
            <v>10434</v>
          </cell>
          <cell r="J55">
            <v>0</v>
          </cell>
          <cell r="N55">
            <v>10434</v>
          </cell>
        </row>
        <row r="57">
          <cell r="A57" t="str">
            <v>06005</v>
          </cell>
          <cell r="B57" t="str">
            <v>Water Services</v>
          </cell>
          <cell r="H57">
            <v>1368</v>
          </cell>
          <cell r="J57">
            <v>0</v>
          </cell>
          <cell r="N57">
            <v>544.20000000000005</v>
          </cell>
        </row>
        <row r="59">
          <cell r="A59" t="str">
            <v>06006</v>
          </cell>
          <cell r="B59" t="str">
            <v>Insurances</v>
          </cell>
          <cell r="H59">
            <v>3204</v>
          </cell>
          <cell r="J59">
            <v>0</v>
          </cell>
          <cell r="N59">
            <v>1386.32</v>
          </cell>
        </row>
        <row r="61">
          <cell r="A61" t="str">
            <v>06007</v>
          </cell>
          <cell r="B61" t="str">
            <v>Cleaning &amp; Domestic Supplies</v>
          </cell>
          <cell r="H61">
            <v>400</v>
          </cell>
          <cell r="J61">
            <v>0</v>
          </cell>
          <cell r="N61">
            <v>160.53</v>
          </cell>
        </row>
        <row r="63">
          <cell r="A63" t="str">
            <v>07001</v>
          </cell>
          <cell r="B63" t="str">
            <v>Sports Grant Eq/Res</v>
          </cell>
          <cell r="H63">
            <v>32723</v>
          </cell>
          <cell r="J63">
            <v>11204</v>
          </cell>
          <cell r="N63">
            <v>8028.42</v>
          </cell>
        </row>
        <row r="65">
          <cell r="A65" t="str">
            <v>07002</v>
          </cell>
          <cell r="B65" t="str">
            <v>Consumable Stock</v>
          </cell>
          <cell r="H65">
            <v>2500</v>
          </cell>
          <cell r="J65">
            <v>0</v>
          </cell>
          <cell r="N65">
            <v>1756.14</v>
          </cell>
        </row>
        <row r="67">
          <cell r="A67" t="str">
            <v>07003</v>
          </cell>
          <cell r="B67" t="str">
            <v>First Access Music Violins</v>
          </cell>
          <cell r="H67">
            <v>0</v>
          </cell>
          <cell r="J67">
            <v>0</v>
          </cell>
          <cell r="N67">
            <v>-1038.54</v>
          </cell>
        </row>
        <row r="69">
          <cell r="A69" t="str">
            <v>07004</v>
          </cell>
          <cell r="B69" t="str">
            <v>Science Club</v>
          </cell>
          <cell r="H69">
            <v>0</v>
          </cell>
          <cell r="J69">
            <v>0</v>
          </cell>
          <cell r="N69">
            <v>0</v>
          </cell>
        </row>
        <row r="71">
          <cell r="A71" t="str">
            <v>07005</v>
          </cell>
          <cell r="B71" t="str">
            <v>Educational Visits</v>
          </cell>
          <cell r="H71">
            <v>800</v>
          </cell>
          <cell r="J71">
            <v>0</v>
          </cell>
          <cell r="N71">
            <v>374.02</v>
          </cell>
        </row>
        <row r="73">
          <cell r="A73" t="str">
            <v>07006</v>
          </cell>
          <cell r="B73" t="str">
            <v>IT Equipment (Formula Capital)</v>
          </cell>
          <cell r="H73">
            <v>10000</v>
          </cell>
          <cell r="J73">
            <v>5155</v>
          </cell>
          <cell r="N73">
            <v>2243.46</v>
          </cell>
        </row>
        <row r="75">
          <cell r="A75" t="str">
            <v>07007</v>
          </cell>
          <cell r="B75" t="str">
            <v>Music Lessons</v>
          </cell>
          <cell r="H75">
            <v>0</v>
          </cell>
          <cell r="J75">
            <v>0</v>
          </cell>
          <cell r="N75">
            <v>334.56</v>
          </cell>
        </row>
        <row r="77">
          <cell r="A77" t="str">
            <v>07008</v>
          </cell>
          <cell r="B77" t="str">
            <v>Residential Trips</v>
          </cell>
          <cell r="H77">
            <v>0</v>
          </cell>
          <cell r="J77">
            <v>0</v>
          </cell>
          <cell r="N77">
            <v>-3219</v>
          </cell>
        </row>
        <row r="79">
          <cell r="A79" t="str">
            <v>07009</v>
          </cell>
          <cell r="B79" t="str">
            <v>Swimming</v>
          </cell>
          <cell r="H79">
            <v>1927</v>
          </cell>
          <cell r="J79">
            <v>0</v>
          </cell>
          <cell r="N79">
            <v>1003.5500000000001</v>
          </cell>
        </row>
        <row r="81">
          <cell r="A81" t="str">
            <v>07010</v>
          </cell>
          <cell r="B81" t="str">
            <v>Prof. Fees - Advisors, Learn Res</v>
          </cell>
          <cell r="H81">
            <v>650</v>
          </cell>
          <cell r="J81">
            <v>330</v>
          </cell>
          <cell r="N81">
            <v>62.5</v>
          </cell>
        </row>
        <row r="83">
          <cell r="A83" t="str">
            <v>07011</v>
          </cell>
          <cell r="B83" t="str">
            <v>Hercules Class</v>
          </cell>
          <cell r="H83">
            <v>0</v>
          </cell>
          <cell r="J83">
            <v>0</v>
          </cell>
          <cell r="N83">
            <v>-21.76</v>
          </cell>
        </row>
        <row r="85">
          <cell r="A85" t="str">
            <v>07012</v>
          </cell>
          <cell r="B85" t="str">
            <v>Pegasus Class</v>
          </cell>
          <cell r="H85">
            <v>0</v>
          </cell>
          <cell r="J85">
            <v>0</v>
          </cell>
          <cell r="N85">
            <v>-2.16</v>
          </cell>
        </row>
        <row r="87">
          <cell r="A87" t="str">
            <v>07013</v>
          </cell>
          <cell r="B87" t="str">
            <v>CPD Courses</v>
          </cell>
          <cell r="H87">
            <v>2950</v>
          </cell>
          <cell r="J87">
            <v>635</v>
          </cell>
          <cell r="N87">
            <v>382.5</v>
          </cell>
        </row>
        <row r="89">
          <cell r="A89" t="str">
            <v>07014</v>
          </cell>
          <cell r="B89" t="str">
            <v>Phoenix Class</v>
          </cell>
          <cell r="H89">
            <v>0</v>
          </cell>
          <cell r="J89">
            <v>0</v>
          </cell>
          <cell r="N89">
            <v>3.5</v>
          </cell>
        </row>
        <row r="91">
          <cell r="A91" t="str">
            <v>07015</v>
          </cell>
          <cell r="B91" t="str">
            <v>Chameleon Class</v>
          </cell>
          <cell r="H91">
            <v>0</v>
          </cell>
          <cell r="J91">
            <v>0</v>
          </cell>
          <cell r="N91">
            <v>46.99</v>
          </cell>
        </row>
        <row r="93">
          <cell r="A93" t="str">
            <v>07016</v>
          </cell>
          <cell r="B93" t="str">
            <v>CPD Supply</v>
          </cell>
          <cell r="H93">
            <v>1280</v>
          </cell>
          <cell r="J93">
            <v>145</v>
          </cell>
          <cell r="N93">
            <v>308.02</v>
          </cell>
        </row>
        <row r="95">
          <cell r="A95" t="str">
            <v>07017</v>
          </cell>
          <cell r="B95" t="str">
            <v>Performance Mgt Supply</v>
          </cell>
          <cell r="H95">
            <v>0</v>
          </cell>
          <cell r="J95">
            <v>0</v>
          </cell>
          <cell r="N95">
            <v>0</v>
          </cell>
        </row>
        <row r="97">
          <cell r="A97" t="str">
            <v>07018</v>
          </cell>
          <cell r="B97" t="str">
            <v>KS2 SATS Supply</v>
          </cell>
          <cell r="H97">
            <v>160</v>
          </cell>
          <cell r="J97">
            <v>0</v>
          </cell>
          <cell r="N97">
            <v>0</v>
          </cell>
        </row>
        <row r="99">
          <cell r="A99" t="str">
            <v>07019</v>
          </cell>
          <cell r="B99" t="str">
            <v>KS2 Boosters Supply</v>
          </cell>
          <cell r="H99">
            <v>0</v>
          </cell>
          <cell r="J99">
            <v>0</v>
          </cell>
          <cell r="N99">
            <v>0</v>
          </cell>
        </row>
        <row r="101">
          <cell r="A101" t="str">
            <v>07020</v>
          </cell>
          <cell r="B101" t="str">
            <v>KS1 SATS Supply</v>
          </cell>
          <cell r="H101">
            <v>160</v>
          </cell>
          <cell r="J101">
            <v>0</v>
          </cell>
          <cell r="N101">
            <v>160</v>
          </cell>
        </row>
        <row r="103">
          <cell r="A103" t="str">
            <v>07021</v>
          </cell>
          <cell r="B103" t="str">
            <v>Literacy</v>
          </cell>
          <cell r="H103">
            <v>1300</v>
          </cell>
          <cell r="J103">
            <v>107</v>
          </cell>
          <cell r="N103">
            <v>996.71</v>
          </cell>
        </row>
        <row r="105">
          <cell r="A105" t="str">
            <v>07022</v>
          </cell>
          <cell r="B105" t="str">
            <v>PPU Supply</v>
          </cell>
          <cell r="H105">
            <v>0</v>
          </cell>
          <cell r="J105">
            <v>0</v>
          </cell>
          <cell r="N105">
            <v>0</v>
          </cell>
        </row>
        <row r="107">
          <cell r="A107" t="str">
            <v>07023</v>
          </cell>
          <cell r="B107" t="str">
            <v>ICT Software &amp; Licences</v>
          </cell>
          <cell r="H107">
            <v>0</v>
          </cell>
          <cell r="J107">
            <v>0</v>
          </cell>
          <cell r="N107">
            <v>0</v>
          </cell>
        </row>
        <row r="109">
          <cell r="A109" t="str">
            <v>07024</v>
          </cell>
          <cell r="B109" t="str">
            <v>Science</v>
          </cell>
          <cell r="H109">
            <v>100</v>
          </cell>
          <cell r="J109">
            <v>0</v>
          </cell>
          <cell r="N109">
            <v>0</v>
          </cell>
        </row>
        <row r="111">
          <cell r="A111" t="str">
            <v>07025</v>
          </cell>
          <cell r="B111" t="str">
            <v>TA Supply</v>
          </cell>
          <cell r="H111">
            <v>3680</v>
          </cell>
          <cell r="J111">
            <v>0</v>
          </cell>
          <cell r="N111">
            <v>4205</v>
          </cell>
        </row>
        <row r="113">
          <cell r="A113" t="str">
            <v>07026</v>
          </cell>
          <cell r="B113" t="str">
            <v>1:1 Tuition Supply</v>
          </cell>
          <cell r="H113">
            <v>0</v>
          </cell>
          <cell r="J113">
            <v>0</v>
          </cell>
          <cell r="N113">
            <v>0</v>
          </cell>
        </row>
        <row r="115">
          <cell r="A115" t="str">
            <v>07027</v>
          </cell>
          <cell r="B115" t="str">
            <v>NOT IN USE.</v>
          </cell>
          <cell r="H115">
            <v>0</v>
          </cell>
          <cell r="J115">
            <v>0</v>
          </cell>
          <cell r="N115">
            <v>0</v>
          </cell>
        </row>
        <row r="117">
          <cell r="A117" t="str">
            <v>07028</v>
          </cell>
          <cell r="B117" t="str">
            <v>Marketing</v>
          </cell>
          <cell r="H117">
            <v>1500</v>
          </cell>
          <cell r="J117">
            <v>0</v>
          </cell>
          <cell r="N117">
            <v>839.46</v>
          </cell>
        </row>
        <row r="119">
          <cell r="A119" t="str">
            <v>07029</v>
          </cell>
          <cell r="B119" t="str">
            <v>SENCO Supply</v>
          </cell>
          <cell r="H119">
            <v>0</v>
          </cell>
          <cell r="J119">
            <v>0</v>
          </cell>
          <cell r="N119">
            <v>80</v>
          </cell>
        </row>
        <row r="121">
          <cell r="A121" t="str">
            <v>07030</v>
          </cell>
          <cell r="B121" t="str">
            <v>Library</v>
          </cell>
          <cell r="H121">
            <v>100</v>
          </cell>
          <cell r="J121">
            <v>0</v>
          </cell>
          <cell r="N121">
            <v>-40</v>
          </cell>
        </row>
        <row r="123">
          <cell r="A123" t="str">
            <v>07031</v>
          </cell>
          <cell r="B123" t="str">
            <v>UIFSM Exp</v>
          </cell>
          <cell r="H123">
            <v>11000</v>
          </cell>
          <cell r="J123">
            <v>0</v>
          </cell>
          <cell r="N123">
            <v>4787</v>
          </cell>
        </row>
        <row r="125">
          <cell r="A125" t="str">
            <v>07032</v>
          </cell>
          <cell r="B125" t="str">
            <v>ICT Support &amp; Broadband</v>
          </cell>
          <cell r="H125">
            <v>6007</v>
          </cell>
          <cell r="J125">
            <v>5204</v>
          </cell>
          <cell r="N125">
            <v>5893.43</v>
          </cell>
        </row>
        <row r="127">
          <cell r="A127" t="str">
            <v>07034</v>
          </cell>
          <cell r="B127" t="str">
            <v>Early Years</v>
          </cell>
          <cell r="H127">
            <v>100</v>
          </cell>
          <cell r="J127">
            <v>0</v>
          </cell>
          <cell r="N127">
            <v>20</v>
          </cell>
        </row>
        <row r="129">
          <cell r="A129" t="str">
            <v>07035</v>
          </cell>
          <cell r="B129" t="str">
            <v>Cookery</v>
          </cell>
          <cell r="H129">
            <v>100</v>
          </cell>
          <cell r="J129">
            <v>0</v>
          </cell>
          <cell r="N129">
            <v>0</v>
          </cell>
        </row>
        <row r="131">
          <cell r="A131" t="str">
            <v>07036</v>
          </cell>
          <cell r="B131" t="str">
            <v>PPG Misc</v>
          </cell>
          <cell r="H131">
            <v>0</v>
          </cell>
          <cell r="J131">
            <v>0</v>
          </cell>
          <cell r="N131">
            <v>134.5</v>
          </cell>
        </row>
        <row r="133">
          <cell r="A133" t="str">
            <v>07037</v>
          </cell>
          <cell r="B133" t="str">
            <v>After School Care Exp -Superstar</v>
          </cell>
          <cell r="H133">
            <v>8695</v>
          </cell>
          <cell r="J133">
            <v>0</v>
          </cell>
          <cell r="N133">
            <v>5787.24</v>
          </cell>
        </row>
        <row r="135">
          <cell r="A135" t="str">
            <v>07038</v>
          </cell>
          <cell r="B135" t="str">
            <v>Music Curriculum</v>
          </cell>
          <cell r="H135">
            <v>100</v>
          </cell>
          <cell r="J135">
            <v>0</v>
          </cell>
          <cell r="N135">
            <v>0</v>
          </cell>
        </row>
        <row r="137">
          <cell r="A137" t="str">
            <v>08001</v>
          </cell>
          <cell r="B137" t="str">
            <v>Administration</v>
          </cell>
          <cell r="H137">
            <v>3038</v>
          </cell>
          <cell r="J137">
            <v>42.81</v>
          </cell>
          <cell r="N137">
            <v>961.73</v>
          </cell>
        </row>
        <row r="139">
          <cell r="A139" t="str">
            <v>08002</v>
          </cell>
          <cell r="B139" t="str">
            <v>Catering Service</v>
          </cell>
          <cell r="H139">
            <v>5800</v>
          </cell>
          <cell r="J139">
            <v>0</v>
          </cell>
          <cell r="N139">
            <v>2104.3000000000002</v>
          </cell>
        </row>
        <row r="141">
          <cell r="A141" t="str">
            <v>08003</v>
          </cell>
          <cell r="B141" t="str">
            <v>Governors Expenses</v>
          </cell>
          <cell r="H141">
            <v>600</v>
          </cell>
          <cell r="J141">
            <v>0</v>
          </cell>
          <cell r="N141">
            <v>-206.89000000000001</v>
          </cell>
        </row>
        <row r="143">
          <cell r="A143" t="str">
            <v>08004</v>
          </cell>
          <cell r="B143" t="str">
            <v>Chippenham Partnership of School</v>
          </cell>
          <cell r="H143">
            <v>0</v>
          </cell>
          <cell r="J143">
            <v>0</v>
          </cell>
          <cell r="N143">
            <v>0</v>
          </cell>
        </row>
        <row r="145">
          <cell r="A145" t="str">
            <v>08005</v>
          </cell>
          <cell r="B145" t="str">
            <v>Licences &amp; Subscriptions</v>
          </cell>
          <cell r="H145">
            <v>2413</v>
          </cell>
          <cell r="J145">
            <v>0</v>
          </cell>
          <cell r="N145">
            <v>1946.22</v>
          </cell>
        </row>
        <row r="147">
          <cell r="A147" t="str">
            <v>08006</v>
          </cell>
          <cell r="B147" t="str">
            <v>Admin Computer Maintenance</v>
          </cell>
          <cell r="H147">
            <v>1702</v>
          </cell>
          <cell r="J147">
            <v>0</v>
          </cell>
          <cell r="N147">
            <v>1600.64</v>
          </cell>
        </row>
        <row r="149">
          <cell r="A149" t="str">
            <v>08007</v>
          </cell>
          <cell r="B149" t="str">
            <v>Photocopying</v>
          </cell>
          <cell r="H149">
            <v>1734</v>
          </cell>
          <cell r="J149">
            <v>108.42</v>
          </cell>
          <cell r="N149">
            <v>594.64</v>
          </cell>
        </row>
        <row r="151">
          <cell r="A151" t="str">
            <v>08008</v>
          </cell>
          <cell r="B151" t="str">
            <v>Postage</v>
          </cell>
          <cell r="H151">
            <v>100</v>
          </cell>
          <cell r="J151">
            <v>0</v>
          </cell>
          <cell r="N151">
            <v>70.2</v>
          </cell>
        </row>
        <row r="153">
          <cell r="A153" t="str">
            <v>08009</v>
          </cell>
          <cell r="B153" t="str">
            <v>Telephones</v>
          </cell>
          <cell r="H153">
            <v>450</v>
          </cell>
          <cell r="J153">
            <v>0</v>
          </cell>
          <cell r="N153">
            <v>230.86</v>
          </cell>
        </row>
        <row r="155">
          <cell r="A155" t="str">
            <v>08010</v>
          </cell>
          <cell r="B155" t="str">
            <v>Prof fees -Payroll/HR/Acc Tech</v>
          </cell>
          <cell r="H155">
            <v>3929</v>
          </cell>
          <cell r="J155">
            <v>0</v>
          </cell>
          <cell r="N155">
            <v>1575.98</v>
          </cell>
        </row>
        <row r="157">
          <cell r="A157" t="str">
            <v>08012</v>
          </cell>
          <cell r="B157" t="str">
            <v>Hercules Supply T5 &amp; 6</v>
          </cell>
          <cell r="H157">
            <v>0</v>
          </cell>
          <cell r="J157">
            <v>0</v>
          </cell>
          <cell r="N157">
            <v>0</v>
          </cell>
        </row>
        <row r="159">
          <cell r="A159" t="str">
            <v>08013</v>
          </cell>
          <cell r="B159" t="str">
            <v>Bank Charges</v>
          </cell>
          <cell r="H159">
            <v>35</v>
          </cell>
          <cell r="J159">
            <v>0</v>
          </cell>
          <cell r="N159">
            <v>0</v>
          </cell>
        </row>
        <row r="161">
          <cell r="A161" t="str">
            <v>08014</v>
          </cell>
          <cell r="B161" t="str">
            <v>Parent Support Advisor</v>
          </cell>
          <cell r="H161">
            <v>0</v>
          </cell>
          <cell r="J161">
            <v>0</v>
          </cell>
          <cell r="N161">
            <v>0</v>
          </cell>
        </row>
        <row r="163">
          <cell r="A163" t="str">
            <v>08015</v>
          </cell>
          <cell r="B163" t="str">
            <v>PPA Cover</v>
          </cell>
          <cell r="H163">
            <v>6452</v>
          </cell>
          <cell r="J163">
            <v>0</v>
          </cell>
          <cell r="N163">
            <v>4168.08</v>
          </cell>
        </row>
        <row r="165">
          <cell r="A165" t="str">
            <v>08016</v>
          </cell>
          <cell r="B165" t="str">
            <v>After School Sports Various</v>
          </cell>
          <cell r="H165">
            <v>-1000</v>
          </cell>
          <cell r="J165">
            <v>0</v>
          </cell>
          <cell r="N165">
            <v>-1103</v>
          </cell>
        </row>
        <row r="167">
          <cell r="A167" t="str">
            <v>08017</v>
          </cell>
          <cell r="B167" t="str">
            <v>Early Morning Club Exp</v>
          </cell>
          <cell r="H167">
            <v>3800</v>
          </cell>
          <cell r="J167">
            <v>0</v>
          </cell>
          <cell r="N167">
            <v>2640</v>
          </cell>
        </row>
        <row r="169">
          <cell r="A169" t="str">
            <v>09001</v>
          </cell>
          <cell r="B169" t="str">
            <v>Furniture and Equipment</v>
          </cell>
          <cell r="H169">
            <v>500</v>
          </cell>
          <cell r="J169">
            <v>76.55</v>
          </cell>
          <cell r="N169">
            <v>1736.15</v>
          </cell>
        </row>
        <row r="171">
          <cell r="A171" t="str">
            <v>11001</v>
          </cell>
          <cell r="B171" t="str">
            <v>Contingency/Reserves</v>
          </cell>
          <cell r="H171">
            <v>17022</v>
          </cell>
          <cell r="J171">
            <v>0</v>
          </cell>
          <cell r="N171">
            <v>0</v>
          </cell>
          <cell r="O171">
            <v>17022</v>
          </cell>
        </row>
        <row r="173">
          <cell r="A173" t="str">
            <v>11002</v>
          </cell>
          <cell r="B173" t="str">
            <v>Capital Contingency</v>
          </cell>
          <cell r="H173">
            <v>0</v>
          </cell>
          <cell r="J173">
            <v>0</v>
          </cell>
          <cell r="N173">
            <v>0</v>
          </cell>
        </row>
        <row r="175">
          <cell r="A175" t="str">
            <v>12001</v>
          </cell>
          <cell r="B175" t="str">
            <v>Bank Interest</v>
          </cell>
          <cell r="H175">
            <v>-100</v>
          </cell>
          <cell r="J175">
            <v>0</v>
          </cell>
          <cell r="N175">
            <v>-27.64</v>
          </cell>
        </row>
        <row r="177">
          <cell r="A177" t="str">
            <v>12006</v>
          </cell>
          <cell r="B177" t="str">
            <v>School Budget Share</v>
          </cell>
          <cell r="H177">
            <v>-390635</v>
          </cell>
          <cell r="J177">
            <v>0</v>
          </cell>
          <cell r="N177">
            <v>-196022.43</v>
          </cell>
        </row>
        <row r="179">
          <cell r="A179" t="str">
            <v>12007</v>
          </cell>
          <cell r="B179" t="str">
            <v>Rollover</v>
          </cell>
          <cell r="H179">
            <v>-71635</v>
          </cell>
          <cell r="J179">
            <v>0</v>
          </cell>
          <cell r="N179">
            <v>-71634.820000000007</v>
          </cell>
        </row>
        <row r="181">
          <cell r="A181" t="str">
            <v>12008</v>
          </cell>
          <cell r="B181" t="str">
            <v>Capital Rollover</v>
          </cell>
          <cell r="H181">
            <v>-15351</v>
          </cell>
          <cell r="J181">
            <v>0</v>
          </cell>
          <cell r="N181">
            <v>-15351.02</v>
          </cell>
        </row>
        <row r="183">
          <cell r="A183" t="str">
            <v>21004</v>
          </cell>
          <cell r="B183" t="str">
            <v>Sports Grant Inc</v>
          </cell>
          <cell r="H183">
            <v>-16821</v>
          </cell>
          <cell r="J183">
            <v>0</v>
          </cell>
          <cell r="N183">
            <v>-7021</v>
          </cell>
        </row>
        <row r="185">
          <cell r="A185" t="str">
            <v>21008</v>
          </cell>
          <cell r="B185" t="str">
            <v>Lettings Inc</v>
          </cell>
          <cell r="H185">
            <v>-4400</v>
          </cell>
          <cell r="J185">
            <v>0</v>
          </cell>
          <cell r="N185">
            <v>-4400</v>
          </cell>
        </row>
        <row r="187">
          <cell r="A187" t="str">
            <v>21012</v>
          </cell>
          <cell r="B187" t="str">
            <v>ASC Income</v>
          </cell>
          <cell r="H187">
            <v>-11000</v>
          </cell>
          <cell r="J187">
            <v>0</v>
          </cell>
          <cell r="N187">
            <v>-7153</v>
          </cell>
        </row>
        <row r="189">
          <cell r="A189" t="str">
            <v>21020</v>
          </cell>
          <cell r="B189" t="str">
            <v>Early Morning Club Inc</v>
          </cell>
          <cell r="H189">
            <v>-4750</v>
          </cell>
          <cell r="J189">
            <v>0</v>
          </cell>
          <cell r="N189">
            <v>-2660.5</v>
          </cell>
        </row>
        <row r="191">
          <cell r="A191" t="str">
            <v>21021</v>
          </cell>
          <cell r="B191" t="str">
            <v>NOT IN USE 6</v>
          </cell>
          <cell r="H191">
            <v>0</v>
          </cell>
          <cell r="J191">
            <v>0</v>
          </cell>
          <cell r="N191">
            <v>0</v>
          </cell>
        </row>
        <row r="193">
          <cell r="A193" t="str">
            <v>21022</v>
          </cell>
          <cell r="B193" t="str">
            <v>Teachers Pay Grant</v>
          </cell>
          <cell r="H193">
            <v>0</v>
          </cell>
          <cell r="J193">
            <v>0</v>
          </cell>
          <cell r="N193">
            <v>0</v>
          </cell>
        </row>
        <row r="195">
          <cell r="A195" t="str">
            <v>21023</v>
          </cell>
          <cell r="B195" t="str">
            <v>UIFSM Inc</v>
          </cell>
          <cell r="H195">
            <v>-11000</v>
          </cell>
          <cell r="J195">
            <v>0</v>
          </cell>
          <cell r="N195">
            <v>-8904</v>
          </cell>
        </row>
        <row r="197">
          <cell r="A197" t="str">
            <v>21024</v>
          </cell>
          <cell r="B197" t="str">
            <v>Donations Misc</v>
          </cell>
          <cell r="H197">
            <v>-600</v>
          </cell>
          <cell r="J197">
            <v>0</v>
          </cell>
          <cell r="N197">
            <v>-5600</v>
          </cell>
        </row>
        <row r="199">
          <cell r="A199" t="str">
            <v>23001</v>
          </cell>
          <cell r="B199" t="str">
            <v>LA Income NPA/SEN</v>
          </cell>
          <cell r="H199">
            <v>-13818</v>
          </cell>
          <cell r="J199">
            <v>0</v>
          </cell>
          <cell r="N199">
            <v>-5825.6</v>
          </cell>
        </row>
        <row r="201">
          <cell r="A201" t="str">
            <v>23002</v>
          </cell>
          <cell r="B201" t="str">
            <v>Formula Capital Inc</v>
          </cell>
          <cell r="H201">
            <v>-5013</v>
          </cell>
          <cell r="J201">
            <v>0</v>
          </cell>
          <cell r="N201">
            <v>-5012.5</v>
          </cell>
        </row>
        <row r="203">
          <cell r="A203" t="str">
            <v>99999</v>
          </cell>
          <cell r="B203" t="str">
            <v>NOT IN USE 9</v>
          </cell>
          <cell r="H203">
            <v>0</v>
          </cell>
          <cell r="J203">
            <v>0</v>
          </cell>
          <cell r="N203">
            <v>0</v>
          </cell>
        </row>
        <row r="205">
          <cell r="A205" t="str">
            <v>ASC</v>
          </cell>
          <cell r="B205" t="str">
            <v>After School Club</v>
          </cell>
          <cell r="H205">
            <v>0</v>
          </cell>
          <cell r="J205">
            <v>0</v>
          </cell>
          <cell r="N205">
            <v>0</v>
          </cell>
        </row>
        <row r="207">
          <cell r="H207">
            <v>0</v>
          </cell>
          <cell r="J207">
            <v>203591.96</v>
          </cell>
          <cell r="N207">
            <v>-89976.27</v>
          </cell>
        </row>
        <row r="210">
          <cell r="A210" t="str">
            <v>Printed on 09/10/2019 at 11:26 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&amp;E Return"/>
      <sheetName val="Workings"/>
      <sheetName val="Cumulative Expense Report"/>
    </sheetNames>
    <sheetDataSet>
      <sheetData sheetId="0"/>
      <sheetData sheetId="1">
        <row r="4">
          <cell r="D4" t="str">
            <v>Langley Fitzurse CE Primary School</v>
          </cell>
        </row>
        <row r="5">
          <cell r="D5">
            <v>3102</v>
          </cell>
        </row>
        <row r="7">
          <cell r="D7">
            <v>43709</v>
          </cell>
        </row>
        <row r="19">
          <cell r="F19">
            <v>145304.79</v>
          </cell>
          <cell r="I19">
            <v>366915</v>
          </cell>
        </row>
        <row r="24">
          <cell r="F24">
            <v>0</v>
          </cell>
          <cell r="I24">
            <v>0</v>
          </cell>
        </row>
        <row r="30">
          <cell r="F30">
            <v>5825.6</v>
          </cell>
          <cell r="I30">
            <v>13818</v>
          </cell>
        </row>
        <row r="34">
          <cell r="F34">
            <v>9436.1200000000008</v>
          </cell>
          <cell r="I34">
            <v>23720</v>
          </cell>
        </row>
        <row r="37">
          <cell r="F37">
            <v>0</v>
          </cell>
          <cell r="I37">
            <v>0</v>
          </cell>
        </row>
        <row r="46">
          <cell r="F46">
            <v>439.05</v>
          </cell>
          <cell r="I46">
            <v>439.05</v>
          </cell>
        </row>
        <row r="78">
          <cell r="F78">
            <v>31380.14</v>
          </cell>
          <cell r="I78">
            <v>33187</v>
          </cell>
        </row>
        <row r="82">
          <cell r="F82">
            <v>0</v>
          </cell>
          <cell r="I82">
            <v>0</v>
          </cell>
        </row>
        <row r="86">
          <cell r="F86">
            <v>15925</v>
          </cell>
          <cell r="I86">
            <v>27821</v>
          </cell>
        </row>
        <row r="100">
          <cell r="F100">
            <v>5012.5</v>
          </cell>
          <cell r="I100">
            <v>5013</v>
          </cell>
        </row>
        <row r="118">
          <cell r="F118">
            <v>114906.63</v>
          </cell>
          <cell r="I118">
            <v>242996</v>
          </cell>
        </row>
        <row r="152">
          <cell r="F152">
            <v>53504.65</v>
          </cell>
          <cell r="I152">
            <v>113101</v>
          </cell>
        </row>
        <row r="181">
          <cell r="F181">
            <v>2426.17</v>
          </cell>
          <cell r="I181">
            <v>8940.5</v>
          </cell>
        </row>
        <row r="195">
          <cell r="F195">
            <v>2870.48</v>
          </cell>
          <cell r="I195">
            <v>9412</v>
          </cell>
        </row>
        <row r="228">
          <cell r="F228">
            <v>8534.3000000000011</v>
          </cell>
          <cell r="I228">
            <v>29322</v>
          </cell>
        </row>
        <row r="263">
          <cell r="F263">
            <v>27888.720000000001</v>
          </cell>
          <cell r="I263">
            <v>43550.58</v>
          </cell>
        </row>
        <row r="311">
          <cell r="F311">
            <v>27367.91</v>
          </cell>
          <cell r="I311">
            <v>47694.97</v>
          </cell>
        </row>
        <row r="332">
          <cell r="F332">
            <v>1730.96</v>
          </cell>
          <cell r="I332">
            <v>7399</v>
          </cell>
        </row>
        <row r="341">
          <cell r="I341">
            <v>23432</v>
          </cell>
        </row>
        <row r="344">
          <cell r="I344">
            <v>48203</v>
          </cell>
        </row>
        <row r="345">
          <cell r="I345">
            <v>0</v>
          </cell>
        </row>
        <row r="348">
          <cell r="I348">
            <v>15351</v>
          </cell>
        </row>
        <row r="351">
          <cell r="I35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H57" sqref="H57"/>
    </sheetView>
  </sheetViews>
  <sheetFormatPr defaultColWidth="14.7109375" defaultRowHeight="15" x14ac:dyDescent="0.25"/>
  <cols>
    <col min="1" max="1" width="29.5703125" customWidth="1"/>
    <col min="2" max="2" width="4.5703125" customWidth="1"/>
    <col min="3" max="3" width="12.140625" customWidth="1"/>
    <col min="4" max="4" width="32" customWidth="1"/>
    <col min="5" max="5" width="24.28515625" customWidth="1"/>
    <col min="6" max="6" width="19.140625" customWidth="1"/>
    <col min="7" max="7" width="4" customWidth="1"/>
    <col min="8" max="8" width="20.140625" customWidth="1"/>
    <col min="9" max="9" width="4.42578125" customWidth="1"/>
    <col min="257" max="257" width="29.5703125" customWidth="1"/>
    <col min="258" max="258" width="4.5703125" customWidth="1"/>
    <col min="259" max="259" width="12.140625" customWidth="1"/>
    <col min="260" max="260" width="32" customWidth="1"/>
    <col min="261" max="261" width="24.28515625" customWidth="1"/>
    <col min="262" max="262" width="19.140625" customWidth="1"/>
    <col min="263" max="263" width="4" customWidth="1"/>
    <col min="264" max="264" width="20.140625" customWidth="1"/>
    <col min="265" max="265" width="4.42578125" customWidth="1"/>
    <col min="513" max="513" width="29.5703125" customWidth="1"/>
    <col min="514" max="514" width="4.5703125" customWidth="1"/>
    <col min="515" max="515" width="12.140625" customWidth="1"/>
    <col min="516" max="516" width="32" customWidth="1"/>
    <col min="517" max="517" width="24.28515625" customWidth="1"/>
    <col min="518" max="518" width="19.140625" customWidth="1"/>
    <col min="519" max="519" width="4" customWidth="1"/>
    <col min="520" max="520" width="20.140625" customWidth="1"/>
    <col min="521" max="521" width="4.42578125" customWidth="1"/>
    <col min="769" max="769" width="29.5703125" customWidth="1"/>
    <col min="770" max="770" width="4.5703125" customWidth="1"/>
    <col min="771" max="771" width="12.140625" customWidth="1"/>
    <col min="772" max="772" width="32" customWidth="1"/>
    <col min="773" max="773" width="24.28515625" customWidth="1"/>
    <col min="774" max="774" width="19.140625" customWidth="1"/>
    <col min="775" max="775" width="4" customWidth="1"/>
    <col min="776" max="776" width="20.140625" customWidth="1"/>
    <col min="777" max="777" width="4.42578125" customWidth="1"/>
    <col min="1025" max="1025" width="29.5703125" customWidth="1"/>
    <col min="1026" max="1026" width="4.5703125" customWidth="1"/>
    <col min="1027" max="1027" width="12.140625" customWidth="1"/>
    <col min="1028" max="1028" width="32" customWidth="1"/>
    <col min="1029" max="1029" width="24.28515625" customWidth="1"/>
    <col min="1030" max="1030" width="19.140625" customWidth="1"/>
    <col min="1031" max="1031" width="4" customWidth="1"/>
    <col min="1032" max="1032" width="20.140625" customWidth="1"/>
    <col min="1033" max="1033" width="4.42578125" customWidth="1"/>
    <col min="1281" max="1281" width="29.5703125" customWidth="1"/>
    <col min="1282" max="1282" width="4.5703125" customWidth="1"/>
    <col min="1283" max="1283" width="12.140625" customWidth="1"/>
    <col min="1284" max="1284" width="32" customWidth="1"/>
    <col min="1285" max="1285" width="24.28515625" customWidth="1"/>
    <col min="1286" max="1286" width="19.140625" customWidth="1"/>
    <col min="1287" max="1287" width="4" customWidth="1"/>
    <col min="1288" max="1288" width="20.140625" customWidth="1"/>
    <col min="1289" max="1289" width="4.42578125" customWidth="1"/>
    <col min="1537" max="1537" width="29.5703125" customWidth="1"/>
    <col min="1538" max="1538" width="4.5703125" customWidth="1"/>
    <col min="1539" max="1539" width="12.140625" customWidth="1"/>
    <col min="1540" max="1540" width="32" customWidth="1"/>
    <col min="1541" max="1541" width="24.28515625" customWidth="1"/>
    <col min="1542" max="1542" width="19.140625" customWidth="1"/>
    <col min="1543" max="1543" width="4" customWidth="1"/>
    <col min="1544" max="1544" width="20.140625" customWidth="1"/>
    <col min="1545" max="1545" width="4.42578125" customWidth="1"/>
    <col min="1793" max="1793" width="29.5703125" customWidth="1"/>
    <col min="1794" max="1794" width="4.5703125" customWidth="1"/>
    <col min="1795" max="1795" width="12.140625" customWidth="1"/>
    <col min="1796" max="1796" width="32" customWidth="1"/>
    <col min="1797" max="1797" width="24.28515625" customWidth="1"/>
    <col min="1798" max="1798" width="19.140625" customWidth="1"/>
    <col min="1799" max="1799" width="4" customWidth="1"/>
    <col min="1800" max="1800" width="20.140625" customWidth="1"/>
    <col min="1801" max="1801" width="4.42578125" customWidth="1"/>
    <col min="2049" max="2049" width="29.5703125" customWidth="1"/>
    <col min="2050" max="2050" width="4.5703125" customWidth="1"/>
    <col min="2051" max="2051" width="12.140625" customWidth="1"/>
    <col min="2052" max="2052" width="32" customWidth="1"/>
    <col min="2053" max="2053" width="24.28515625" customWidth="1"/>
    <col min="2054" max="2054" width="19.140625" customWidth="1"/>
    <col min="2055" max="2055" width="4" customWidth="1"/>
    <col min="2056" max="2056" width="20.140625" customWidth="1"/>
    <col min="2057" max="2057" width="4.42578125" customWidth="1"/>
    <col min="2305" max="2305" width="29.5703125" customWidth="1"/>
    <col min="2306" max="2306" width="4.5703125" customWidth="1"/>
    <col min="2307" max="2307" width="12.140625" customWidth="1"/>
    <col min="2308" max="2308" width="32" customWidth="1"/>
    <col min="2309" max="2309" width="24.28515625" customWidth="1"/>
    <col min="2310" max="2310" width="19.140625" customWidth="1"/>
    <col min="2311" max="2311" width="4" customWidth="1"/>
    <col min="2312" max="2312" width="20.140625" customWidth="1"/>
    <col min="2313" max="2313" width="4.42578125" customWidth="1"/>
    <col min="2561" max="2561" width="29.5703125" customWidth="1"/>
    <col min="2562" max="2562" width="4.5703125" customWidth="1"/>
    <col min="2563" max="2563" width="12.140625" customWidth="1"/>
    <col min="2564" max="2564" width="32" customWidth="1"/>
    <col min="2565" max="2565" width="24.28515625" customWidth="1"/>
    <col min="2566" max="2566" width="19.140625" customWidth="1"/>
    <col min="2567" max="2567" width="4" customWidth="1"/>
    <col min="2568" max="2568" width="20.140625" customWidth="1"/>
    <col min="2569" max="2569" width="4.42578125" customWidth="1"/>
    <col min="2817" max="2817" width="29.5703125" customWidth="1"/>
    <col min="2818" max="2818" width="4.5703125" customWidth="1"/>
    <col min="2819" max="2819" width="12.140625" customWidth="1"/>
    <col min="2820" max="2820" width="32" customWidth="1"/>
    <col min="2821" max="2821" width="24.28515625" customWidth="1"/>
    <col min="2822" max="2822" width="19.140625" customWidth="1"/>
    <col min="2823" max="2823" width="4" customWidth="1"/>
    <col min="2824" max="2824" width="20.140625" customWidth="1"/>
    <col min="2825" max="2825" width="4.42578125" customWidth="1"/>
    <col min="3073" max="3073" width="29.5703125" customWidth="1"/>
    <col min="3074" max="3074" width="4.5703125" customWidth="1"/>
    <col min="3075" max="3075" width="12.140625" customWidth="1"/>
    <col min="3076" max="3076" width="32" customWidth="1"/>
    <col min="3077" max="3077" width="24.28515625" customWidth="1"/>
    <col min="3078" max="3078" width="19.140625" customWidth="1"/>
    <col min="3079" max="3079" width="4" customWidth="1"/>
    <col min="3080" max="3080" width="20.140625" customWidth="1"/>
    <col min="3081" max="3081" width="4.42578125" customWidth="1"/>
    <col min="3329" max="3329" width="29.5703125" customWidth="1"/>
    <col min="3330" max="3330" width="4.5703125" customWidth="1"/>
    <col min="3331" max="3331" width="12.140625" customWidth="1"/>
    <col min="3332" max="3332" width="32" customWidth="1"/>
    <col min="3333" max="3333" width="24.28515625" customWidth="1"/>
    <col min="3334" max="3334" width="19.140625" customWidth="1"/>
    <col min="3335" max="3335" width="4" customWidth="1"/>
    <col min="3336" max="3336" width="20.140625" customWidth="1"/>
    <col min="3337" max="3337" width="4.42578125" customWidth="1"/>
    <col min="3585" max="3585" width="29.5703125" customWidth="1"/>
    <col min="3586" max="3586" width="4.5703125" customWidth="1"/>
    <col min="3587" max="3587" width="12.140625" customWidth="1"/>
    <col min="3588" max="3588" width="32" customWidth="1"/>
    <col min="3589" max="3589" width="24.28515625" customWidth="1"/>
    <col min="3590" max="3590" width="19.140625" customWidth="1"/>
    <col min="3591" max="3591" width="4" customWidth="1"/>
    <col min="3592" max="3592" width="20.140625" customWidth="1"/>
    <col min="3593" max="3593" width="4.42578125" customWidth="1"/>
    <col min="3841" max="3841" width="29.5703125" customWidth="1"/>
    <col min="3842" max="3842" width="4.5703125" customWidth="1"/>
    <col min="3843" max="3843" width="12.140625" customWidth="1"/>
    <col min="3844" max="3844" width="32" customWidth="1"/>
    <col min="3845" max="3845" width="24.28515625" customWidth="1"/>
    <col min="3846" max="3846" width="19.140625" customWidth="1"/>
    <col min="3847" max="3847" width="4" customWidth="1"/>
    <col min="3848" max="3848" width="20.140625" customWidth="1"/>
    <col min="3849" max="3849" width="4.42578125" customWidth="1"/>
    <col min="4097" max="4097" width="29.5703125" customWidth="1"/>
    <col min="4098" max="4098" width="4.5703125" customWidth="1"/>
    <col min="4099" max="4099" width="12.140625" customWidth="1"/>
    <col min="4100" max="4100" width="32" customWidth="1"/>
    <col min="4101" max="4101" width="24.28515625" customWidth="1"/>
    <col min="4102" max="4102" width="19.140625" customWidth="1"/>
    <col min="4103" max="4103" width="4" customWidth="1"/>
    <col min="4104" max="4104" width="20.140625" customWidth="1"/>
    <col min="4105" max="4105" width="4.42578125" customWidth="1"/>
    <col min="4353" max="4353" width="29.5703125" customWidth="1"/>
    <col min="4354" max="4354" width="4.5703125" customWidth="1"/>
    <col min="4355" max="4355" width="12.140625" customWidth="1"/>
    <col min="4356" max="4356" width="32" customWidth="1"/>
    <col min="4357" max="4357" width="24.28515625" customWidth="1"/>
    <col min="4358" max="4358" width="19.140625" customWidth="1"/>
    <col min="4359" max="4359" width="4" customWidth="1"/>
    <col min="4360" max="4360" width="20.140625" customWidth="1"/>
    <col min="4361" max="4361" width="4.42578125" customWidth="1"/>
    <col min="4609" max="4609" width="29.5703125" customWidth="1"/>
    <col min="4610" max="4610" width="4.5703125" customWidth="1"/>
    <col min="4611" max="4611" width="12.140625" customWidth="1"/>
    <col min="4612" max="4612" width="32" customWidth="1"/>
    <col min="4613" max="4613" width="24.28515625" customWidth="1"/>
    <col min="4614" max="4614" width="19.140625" customWidth="1"/>
    <col min="4615" max="4615" width="4" customWidth="1"/>
    <col min="4616" max="4616" width="20.140625" customWidth="1"/>
    <col min="4617" max="4617" width="4.42578125" customWidth="1"/>
    <col min="4865" max="4865" width="29.5703125" customWidth="1"/>
    <col min="4866" max="4866" width="4.5703125" customWidth="1"/>
    <col min="4867" max="4867" width="12.140625" customWidth="1"/>
    <col min="4868" max="4868" width="32" customWidth="1"/>
    <col min="4869" max="4869" width="24.28515625" customWidth="1"/>
    <col min="4870" max="4870" width="19.140625" customWidth="1"/>
    <col min="4871" max="4871" width="4" customWidth="1"/>
    <col min="4872" max="4872" width="20.140625" customWidth="1"/>
    <col min="4873" max="4873" width="4.42578125" customWidth="1"/>
    <col min="5121" max="5121" width="29.5703125" customWidth="1"/>
    <col min="5122" max="5122" width="4.5703125" customWidth="1"/>
    <col min="5123" max="5123" width="12.140625" customWidth="1"/>
    <col min="5124" max="5124" width="32" customWidth="1"/>
    <col min="5125" max="5125" width="24.28515625" customWidth="1"/>
    <col min="5126" max="5126" width="19.140625" customWidth="1"/>
    <col min="5127" max="5127" width="4" customWidth="1"/>
    <col min="5128" max="5128" width="20.140625" customWidth="1"/>
    <col min="5129" max="5129" width="4.42578125" customWidth="1"/>
    <col min="5377" max="5377" width="29.5703125" customWidth="1"/>
    <col min="5378" max="5378" width="4.5703125" customWidth="1"/>
    <col min="5379" max="5379" width="12.140625" customWidth="1"/>
    <col min="5380" max="5380" width="32" customWidth="1"/>
    <col min="5381" max="5381" width="24.28515625" customWidth="1"/>
    <col min="5382" max="5382" width="19.140625" customWidth="1"/>
    <col min="5383" max="5383" width="4" customWidth="1"/>
    <col min="5384" max="5384" width="20.140625" customWidth="1"/>
    <col min="5385" max="5385" width="4.42578125" customWidth="1"/>
    <col min="5633" max="5633" width="29.5703125" customWidth="1"/>
    <col min="5634" max="5634" width="4.5703125" customWidth="1"/>
    <col min="5635" max="5635" width="12.140625" customWidth="1"/>
    <col min="5636" max="5636" width="32" customWidth="1"/>
    <col min="5637" max="5637" width="24.28515625" customWidth="1"/>
    <col min="5638" max="5638" width="19.140625" customWidth="1"/>
    <col min="5639" max="5639" width="4" customWidth="1"/>
    <col min="5640" max="5640" width="20.140625" customWidth="1"/>
    <col min="5641" max="5641" width="4.42578125" customWidth="1"/>
    <col min="5889" max="5889" width="29.5703125" customWidth="1"/>
    <col min="5890" max="5890" width="4.5703125" customWidth="1"/>
    <col min="5891" max="5891" width="12.140625" customWidth="1"/>
    <col min="5892" max="5892" width="32" customWidth="1"/>
    <col min="5893" max="5893" width="24.28515625" customWidth="1"/>
    <col min="5894" max="5894" width="19.140625" customWidth="1"/>
    <col min="5895" max="5895" width="4" customWidth="1"/>
    <col min="5896" max="5896" width="20.140625" customWidth="1"/>
    <col min="5897" max="5897" width="4.42578125" customWidth="1"/>
    <col min="6145" max="6145" width="29.5703125" customWidth="1"/>
    <col min="6146" max="6146" width="4.5703125" customWidth="1"/>
    <col min="6147" max="6147" width="12.140625" customWidth="1"/>
    <col min="6148" max="6148" width="32" customWidth="1"/>
    <col min="6149" max="6149" width="24.28515625" customWidth="1"/>
    <col min="6150" max="6150" width="19.140625" customWidth="1"/>
    <col min="6151" max="6151" width="4" customWidth="1"/>
    <col min="6152" max="6152" width="20.140625" customWidth="1"/>
    <col min="6153" max="6153" width="4.42578125" customWidth="1"/>
    <col min="6401" max="6401" width="29.5703125" customWidth="1"/>
    <col min="6402" max="6402" width="4.5703125" customWidth="1"/>
    <col min="6403" max="6403" width="12.140625" customWidth="1"/>
    <col min="6404" max="6404" width="32" customWidth="1"/>
    <col min="6405" max="6405" width="24.28515625" customWidth="1"/>
    <col min="6406" max="6406" width="19.140625" customWidth="1"/>
    <col min="6407" max="6407" width="4" customWidth="1"/>
    <col min="6408" max="6408" width="20.140625" customWidth="1"/>
    <col min="6409" max="6409" width="4.42578125" customWidth="1"/>
    <col min="6657" max="6657" width="29.5703125" customWidth="1"/>
    <col min="6658" max="6658" width="4.5703125" customWidth="1"/>
    <col min="6659" max="6659" width="12.140625" customWidth="1"/>
    <col min="6660" max="6660" width="32" customWidth="1"/>
    <col min="6661" max="6661" width="24.28515625" customWidth="1"/>
    <col min="6662" max="6662" width="19.140625" customWidth="1"/>
    <col min="6663" max="6663" width="4" customWidth="1"/>
    <col min="6664" max="6664" width="20.140625" customWidth="1"/>
    <col min="6665" max="6665" width="4.42578125" customWidth="1"/>
    <col min="6913" max="6913" width="29.5703125" customWidth="1"/>
    <col min="6914" max="6914" width="4.5703125" customWidth="1"/>
    <col min="6915" max="6915" width="12.140625" customWidth="1"/>
    <col min="6916" max="6916" width="32" customWidth="1"/>
    <col min="6917" max="6917" width="24.28515625" customWidth="1"/>
    <col min="6918" max="6918" width="19.140625" customWidth="1"/>
    <col min="6919" max="6919" width="4" customWidth="1"/>
    <col min="6920" max="6920" width="20.140625" customWidth="1"/>
    <col min="6921" max="6921" width="4.42578125" customWidth="1"/>
    <col min="7169" max="7169" width="29.5703125" customWidth="1"/>
    <col min="7170" max="7170" width="4.5703125" customWidth="1"/>
    <col min="7171" max="7171" width="12.140625" customWidth="1"/>
    <col min="7172" max="7172" width="32" customWidth="1"/>
    <col min="7173" max="7173" width="24.28515625" customWidth="1"/>
    <col min="7174" max="7174" width="19.140625" customWidth="1"/>
    <col min="7175" max="7175" width="4" customWidth="1"/>
    <col min="7176" max="7176" width="20.140625" customWidth="1"/>
    <col min="7177" max="7177" width="4.42578125" customWidth="1"/>
    <col min="7425" max="7425" width="29.5703125" customWidth="1"/>
    <col min="7426" max="7426" width="4.5703125" customWidth="1"/>
    <col min="7427" max="7427" width="12.140625" customWidth="1"/>
    <col min="7428" max="7428" width="32" customWidth="1"/>
    <col min="7429" max="7429" width="24.28515625" customWidth="1"/>
    <col min="7430" max="7430" width="19.140625" customWidth="1"/>
    <col min="7431" max="7431" width="4" customWidth="1"/>
    <col min="7432" max="7432" width="20.140625" customWidth="1"/>
    <col min="7433" max="7433" width="4.42578125" customWidth="1"/>
    <col min="7681" max="7681" width="29.5703125" customWidth="1"/>
    <col min="7682" max="7682" width="4.5703125" customWidth="1"/>
    <col min="7683" max="7683" width="12.140625" customWidth="1"/>
    <col min="7684" max="7684" width="32" customWidth="1"/>
    <col min="7685" max="7685" width="24.28515625" customWidth="1"/>
    <col min="7686" max="7686" width="19.140625" customWidth="1"/>
    <col min="7687" max="7687" width="4" customWidth="1"/>
    <col min="7688" max="7688" width="20.140625" customWidth="1"/>
    <col min="7689" max="7689" width="4.42578125" customWidth="1"/>
    <col min="7937" max="7937" width="29.5703125" customWidth="1"/>
    <col min="7938" max="7938" width="4.5703125" customWidth="1"/>
    <col min="7939" max="7939" width="12.140625" customWidth="1"/>
    <col min="7940" max="7940" width="32" customWidth="1"/>
    <col min="7941" max="7941" width="24.28515625" customWidth="1"/>
    <col min="7942" max="7942" width="19.140625" customWidth="1"/>
    <col min="7943" max="7943" width="4" customWidth="1"/>
    <col min="7944" max="7944" width="20.140625" customWidth="1"/>
    <col min="7945" max="7945" width="4.42578125" customWidth="1"/>
    <col min="8193" max="8193" width="29.5703125" customWidth="1"/>
    <col min="8194" max="8194" width="4.5703125" customWidth="1"/>
    <col min="8195" max="8195" width="12.140625" customWidth="1"/>
    <col min="8196" max="8196" width="32" customWidth="1"/>
    <col min="8197" max="8197" width="24.28515625" customWidth="1"/>
    <col min="8198" max="8198" width="19.140625" customWidth="1"/>
    <col min="8199" max="8199" width="4" customWidth="1"/>
    <col min="8200" max="8200" width="20.140625" customWidth="1"/>
    <col min="8201" max="8201" width="4.42578125" customWidth="1"/>
    <col min="8449" max="8449" width="29.5703125" customWidth="1"/>
    <col min="8450" max="8450" width="4.5703125" customWidth="1"/>
    <col min="8451" max="8451" width="12.140625" customWidth="1"/>
    <col min="8452" max="8452" width="32" customWidth="1"/>
    <col min="8453" max="8453" width="24.28515625" customWidth="1"/>
    <col min="8454" max="8454" width="19.140625" customWidth="1"/>
    <col min="8455" max="8455" width="4" customWidth="1"/>
    <col min="8456" max="8456" width="20.140625" customWidth="1"/>
    <col min="8457" max="8457" width="4.42578125" customWidth="1"/>
    <col min="8705" max="8705" width="29.5703125" customWidth="1"/>
    <col min="8706" max="8706" width="4.5703125" customWidth="1"/>
    <col min="8707" max="8707" width="12.140625" customWidth="1"/>
    <col min="8708" max="8708" width="32" customWidth="1"/>
    <col min="8709" max="8709" width="24.28515625" customWidth="1"/>
    <col min="8710" max="8710" width="19.140625" customWidth="1"/>
    <col min="8711" max="8711" width="4" customWidth="1"/>
    <col min="8712" max="8712" width="20.140625" customWidth="1"/>
    <col min="8713" max="8713" width="4.42578125" customWidth="1"/>
    <col min="8961" max="8961" width="29.5703125" customWidth="1"/>
    <col min="8962" max="8962" width="4.5703125" customWidth="1"/>
    <col min="8963" max="8963" width="12.140625" customWidth="1"/>
    <col min="8964" max="8964" width="32" customWidth="1"/>
    <col min="8965" max="8965" width="24.28515625" customWidth="1"/>
    <col min="8966" max="8966" width="19.140625" customWidth="1"/>
    <col min="8967" max="8967" width="4" customWidth="1"/>
    <col min="8968" max="8968" width="20.140625" customWidth="1"/>
    <col min="8969" max="8969" width="4.42578125" customWidth="1"/>
    <col min="9217" max="9217" width="29.5703125" customWidth="1"/>
    <col min="9218" max="9218" width="4.5703125" customWidth="1"/>
    <col min="9219" max="9219" width="12.140625" customWidth="1"/>
    <col min="9220" max="9220" width="32" customWidth="1"/>
    <col min="9221" max="9221" width="24.28515625" customWidth="1"/>
    <col min="9222" max="9222" width="19.140625" customWidth="1"/>
    <col min="9223" max="9223" width="4" customWidth="1"/>
    <col min="9224" max="9224" width="20.140625" customWidth="1"/>
    <col min="9225" max="9225" width="4.42578125" customWidth="1"/>
    <col min="9473" max="9473" width="29.5703125" customWidth="1"/>
    <col min="9474" max="9474" width="4.5703125" customWidth="1"/>
    <col min="9475" max="9475" width="12.140625" customWidth="1"/>
    <col min="9476" max="9476" width="32" customWidth="1"/>
    <col min="9477" max="9477" width="24.28515625" customWidth="1"/>
    <col min="9478" max="9478" width="19.140625" customWidth="1"/>
    <col min="9479" max="9479" width="4" customWidth="1"/>
    <col min="9480" max="9480" width="20.140625" customWidth="1"/>
    <col min="9481" max="9481" width="4.42578125" customWidth="1"/>
    <col min="9729" max="9729" width="29.5703125" customWidth="1"/>
    <col min="9730" max="9730" width="4.5703125" customWidth="1"/>
    <col min="9731" max="9731" width="12.140625" customWidth="1"/>
    <col min="9732" max="9732" width="32" customWidth="1"/>
    <col min="9733" max="9733" width="24.28515625" customWidth="1"/>
    <col min="9734" max="9734" width="19.140625" customWidth="1"/>
    <col min="9735" max="9735" width="4" customWidth="1"/>
    <col min="9736" max="9736" width="20.140625" customWidth="1"/>
    <col min="9737" max="9737" width="4.42578125" customWidth="1"/>
    <col min="9985" max="9985" width="29.5703125" customWidth="1"/>
    <col min="9986" max="9986" width="4.5703125" customWidth="1"/>
    <col min="9987" max="9987" width="12.140625" customWidth="1"/>
    <col min="9988" max="9988" width="32" customWidth="1"/>
    <col min="9989" max="9989" width="24.28515625" customWidth="1"/>
    <col min="9990" max="9990" width="19.140625" customWidth="1"/>
    <col min="9991" max="9991" width="4" customWidth="1"/>
    <col min="9992" max="9992" width="20.140625" customWidth="1"/>
    <col min="9993" max="9993" width="4.42578125" customWidth="1"/>
    <col min="10241" max="10241" width="29.5703125" customWidth="1"/>
    <col min="10242" max="10242" width="4.5703125" customWidth="1"/>
    <col min="10243" max="10243" width="12.140625" customWidth="1"/>
    <col min="10244" max="10244" width="32" customWidth="1"/>
    <col min="10245" max="10245" width="24.28515625" customWidth="1"/>
    <col min="10246" max="10246" width="19.140625" customWidth="1"/>
    <col min="10247" max="10247" width="4" customWidth="1"/>
    <col min="10248" max="10248" width="20.140625" customWidth="1"/>
    <col min="10249" max="10249" width="4.42578125" customWidth="1"/>
    <col min="10497" max="10497" width="29.5703125" customWidth="1"/>
    <col min="10498" max="10498" width="4.5703125" customWidth="1"/>
    <col min="10499" max="10499" width="12.140625" customWidth="1"/>
    <col min="10500" max="10500" width="32" customWidth="1"/>
    <col min="10501" max="10501" width="24.28515625" customWidth="1"/>
    <col min="10502" max="10502" width="19.140625" customWidth="1"/>
    <col min="10503" max="10503" width="4" customWidth="1"/>
    <col min="10504" max="10504" width="20.140625" customWidth="1"/>
    <col min="10505" max="10505" width="4.42578125" customWidth="1"/>
    <col min="10753" max="10753" width="29.5703125" customWidth="1"/>
    <col min="10754" max="10754" width="4.5703125" customWidth="1"/>
    <col min="10755" max="10755" width="12.140625" customWidth="1"/>
    <col min="10756" max="10756" width="32" customWidth="1"/>
    <col min="10757" max="10757" width="24.28515625" customWidth="1"/>
    <col min="10758" max="10758" width="19.140625" customWidth="1"/>
    <col min="10759" max="10759" width="4" customWidth="1"/>
    <col min="10760" max="10760" width="20.140625" customWidth="1"/>
    <col min="10761" max="10761" width="4.42578125" customWidth="1"/>
    <col min="11009" max="11009" width="29.5703125" customWidth="1"/>
    <col min="11010" max="11010" width="4.5703125" customWidth="1"/>
    <col min="11011" max="11011" width="12.140625" customWidth="1"/>
    <col min="11012" max="11012" width="32" customWidth="1"/>
    <col min="11013" max="11013" width="24.28515625" customWidth="1"/>
    <col min="11014" max="11014" width="19.140625" customWidth="1"/>
    <col min="11015" max="11015" width="4" customWidth="1"/>
    <col min="11016" max="11016" width="20.140625" customWidth="1"/>
    <col min="11017" max="11017" width="4.42578125" customWidth="1"/>
    <col min="11265" max="11265" width="29.5703125" customWidth="1"/>
    <col min="11266" max="11266" width="4.5703125" customWidth="1"/>
    <col min="11267" max="11267" width="12.140625" customWidth="1"/>
    <col min="11268" max="11268" width="32" customWidth="1"/>
    <col min="11269" max="11269" width="24.28515625" customWidth="1"/>
    <col min="11270" max="11270" width="19.140625" customWidth="1"/>
    <col min="11271" max="11271" width="4" customWidth="1"/>
    <col min="11272" max="11272" width="20.140625" customWidth="1"/>
    <col min="11273" max="11273" width="4.42578125" customWidth="1"/>
    <col min="11521" max="11521" width="29.5703125" customWidth="1"/>
    <col min="11522" max="11522" width="4.5703125" customWidth="1"/>
    <col min="11523" max="11523" width="12.140625" customWidth="1"/>
    <col min="11524" max="11524" width="32" customWidth="1"/>
    <col min="11525" max="11525" width="24.28515625" customWidth="1"/>
    <col min="11526" max="11526" width="19.140625" customWidth="1"/>
    <col min="11527" max="11527" width="4" customWidth="1"/>
    <col min="11528" max="11528" width="20.140625" customWidth="1"/>
    <col min="11529" max="11529" width="4.42578125" customWidth="1"/>
    <col min="11777" max="11777" width="29.5703125" customWidth="1"/>
    <col min="11778" max="11778" width="4.5703125" customWidth="1"/>
    <col min="11779" max="11779" width="12.140625" customWidth="1"/>
    <col min="11780" max="11780" width="32" customWidth="1"/>
    <col min="11781" max="11781" width="24.28515625" customWidth="1"/>
    <col min="11782" max="11782" width="19.140625" customWidth="1"/>
    <col min="11783" max="11783" width="4" customWidth="1"/>
    <col min="11784" max="11784" width="20.140625" customWidth="1"/>
    <col min="11785" max="11785" width="4.42578125" customWidth="1"/>
    <col min="12033" max="12033" width="29.5703125" customWidth="1"/>
    <col min="12034" max="12034" width="4.5703125" customWidth="1"/>
    <col min="12035" max="12035" width="12.140625" customWidth="1"/>
    <col min="12036" max="12036" width="32" customWidth="1"/>
    <col min="12037" max="12037" width="24.28515625" customWidth="1"/>
    <col min="12038" max="12038" width="19.140625" customWidth="1"/>
    <col min="12039" max="12039" width="4" customWidth="1"/>
    <col min="12040" max="12040" width="20.140625" customWidth="1"/>
    <col min="12041" max="12041" width="4.42578125" customWidth="1"/>
    <col min="12289" max="12289" width="29.5703125" customWidth="1"/>
    <col min="12290" max="12290" width="4.5703125" customWidth="1"/>
    <col min="12291" max="12291" width="12.140625" customWidth="1"/>
    <col min="12292" max="12292" width="32" customWidth="1"/>
    <col min="12293" max="12293" width="24.28515625" customWidth="1"/>
    <col min="12294" max="12294" width="19.140625" customWidth="1"/>
    <col min="12295" max="12295" width="4" customWidth="1"/>
    <col min="12296" max="12296" width="20.140625" customWidth="1"/>
    <col min="12297" max="12297" width="4.42578125" customWidth="1"/>
    <col min="12545" max="12545" width="29.5703125" customWidth="1"/>
    <col min="12546" max="12546" width="4.5703125" customWidth="1"/>
    <col min="12547" max="12547" width="12.140625" customWidth="1"/>
    <col min="12548" max="12548" width="32" customWidth="1"/>
    <col min="12549" max="12549" width="24.28515625" customWidth="1"/>
    <col min="12550" max="12550" width="19.140625" customWidth="1"/>
    <col min="12551" max="12551" width="4" customWidth="1"/>
    <col min="12552" max="12552" width="20.140625" customWidth="1"/>
    <col min="12553" max="12553" width="4.42578125" customWidth="1"/>
    <col min="12801" max="12801" width="29.5703125" customWidth="1"/>
    <col min="12802" max="12802" width="4.5703125" customWidth="1"/>
    <col min="12803" max="12803" width="12.140625" customWidth="1"/>
    <col min="12804" max="12804" width="32" customWidth="1"/>
    <col min="12805" max="12805" width="24.28515625" customWidth="1"/>
    <col min="12806" max="12806" width="19.140625" customWidth="1"/>
    <col min="12807" max="12807" width="4" customWidth="1"/>
    <col min="12808" max="12808" width="20.140625" customWidth="1"/>
    <col min="12809" max="12809" width="4.42578125" customWidth="1"/>
    <col min="13057" max="13057" width="29.5703125" customWidth="1"/>
    <col min="13058" max="13058" width="4.5703125" customWidth="1"/>
    <col min="13059" max="13059" width="12.140625" customWidth="1"/>
    <col min="13060" max="13060" width="32" customWidth="1"/>
    <col min="13061" max="13061" width="24.28515625" customWidth="1"/>
    <col min="13062" max="13062" width="19.140625" customWidth="1"/>
    <col min="13063" max="13063" width="4" customWidth="1"/>
    <col min="13064" max="13064" width="20.140625" customWidth="1"/>
    <col min="13065" max="13065" width="4.42578125" customWidth="1"/>
    <col min="13313" max="13313" width="29.5703125" customWidth="1"/>
    <col min="13314" max="13314" width="4.5703125" customWidth="1"/>
    <col min="13315" max="13315" width="12.140625" customWidth="1"/>
    <col min="13316" max="13316" width="32" customWidth="1"/>
    <col min="13317" max="13317" width="24.28515625" customWidth="1"/>
    <col min="13318" max="13318" width="19.140625" customWidth="1"/>
    <col min="13319" max="13319" width="4" customWidth="1"/>
    <col min="13320" max="13320" width="20.140625" customWidth="1"/>
    <col min="13321" max="13321" width="4.42578125" customWidth="1"/>
    <col min="13569" max="13569" width="29.5703125" customWidth="1"/>
    <col min="13570" max="13570" width="4.5703125" customWidth="1"/>
    <col min="13571" max="13571" width="12.140625" customWidth="1"/>
    <col min="13572" max="13572" width="32" customWidth="1"/>
    <col min="13573" max="13573" width="24.28515625" customWidth="1"/>
    <col min="13574" max="13574" width="19.140625" customWidth="1"/>
    <col min="13575" max="13575" width="4" customWidth="1"/>
    <col min="13576" max="13576" width="20.140625" customWidth="1"/>
    <col min="13577" max="13577" width="4.42578125" customWidth="1"/>
    <col min="13825" max="13825" width="29.5703125" customWidth="1"/>
    <col min="13826" max="13826" width="4.5703125" customWidth="1"/>
    <col min="13827" max="13827" width="12.140625" customWidth="1"/>
    <col min="13828" max="13828" width="32" customWidth="1"/>
    <col min="13829" max="13829" width="24.28515625" customWidth="1"/>
    <col min="13830" max="13830" width="19.140625" customWidth="1"/>
    <col min="13831" max="13831" width="4" customWidth="1"/>
    <col min="13832" max="13832" width="20.140625" customWidth="1"/>
    <col min="13833" max="13833" width="4.42578125" customWidth="1"/>
    <col min="14081" max="14081" width="29.5703125" customWidth="1"/>
    <col min="14082" max="14082" width="4.5703125" customWidth="1"/>
    <col min="14083" max="14083" width="12.140625" customWidth="1"/>
    <col min="14084" max="14084" width="32" customWidth="1"/>
    <col min="14085" max="14085" width="24.28515625" customWidth="1"/>
    <col min="14086" max="14086" width="19.140625" customWidth="1"/>
    <col min="14087" max="14087" width="4" customWidth="1"/>
    <col min="14088" max="14088" width="20.140625" customWidth="1"/>
    <col min="14089" max="14089" width="4.42578125" customWidth="1"/>
    <col min="14337" max="14337" width="29.5703125" customWidth="1"/>
    <col min="14338" max="14338" width="4.5703125" customWidth="1"/>
    <col min="14339" max="14339" width="12.140625" customWidth="1"/>
    <col min="14340" max="14340" width="32" customWidth="1"/>
    <col min="14341" max="14341" width="24.28515625" customWidth="1"/>
    <col min="14342" max="14342" width="19.140625" customWidth="1"/>
    <col min="14343" max="14343" width="4" customWidth="1"/>
    <col min="14344" max="14344" width="20.140625" customWidth="1"/>
    <col min="14345" max="14345" width="4.42578125" customWidth="1"/>
    <col min="14593" max="14593" width="29.5703125" customWidth="1"/>
    <col min="14594" max="14594" width="4.5703125" customWidth="1"/>
    <col min="14595" max="14595" width="12.140625" customWidth="1"/>
    <col min="14596" max="14596" width="32" customWidth="1"/>
    <col min="14597" max="14597" width="24.28515625" customWidth="1"/>
    <col min="14598" max="14598" width="19.140625" customWidth="1"/>
    <col min="14599" max="14599" width="4" customWidth="1"/>
    <col min="14600" max="14600" width="20.140625" customWidth="1"/>
    <col min="14601" max="14601" width="4.42578125" customWidth="1"/>
    <col min="14849" max="14849" width="29.5703125" customWidth="1"/>
    <col min="14850" max="14850" width="4.5703125" customWidth="1"/>
    <col min="14851" max="14851" width="12.140625" customWidth="1"/>
    <col min="14852" max="14852" width="32" customWidth="1"/>
    <col min="14853" max="14853" width="24.28515625" customWidth="1"/>
    <col min="14854" max="14854" width="19.140625" customWidth="1"/>
    <col min="14855" max="14855" width="4" customWidth="1"/>
    <col min="14856" max="14856" width="20.140625" customWidth="1"/>
    <col min="14857" max="14857" width="4.42578125" customWidth="1"/>
    <col min="15105" max="15105" width="29.5703125" customWidth="1"/>
    <col min="15106" max="15106" width="4.5703125" customWidth="1"/>
    <col min="15107" max="15107" width="12.140625" customWidth="1"/>
    <col min="15108" max="15108" width="32" customWidth="1"/>
    <col min="15109" max="15109" width="24.28515625" customWidth="1"/>
    <col min="15110" max="15110" width="19.140625" customWidth="1"/>
    <col min="15111" max="15111" width="4" customWidth="1"/>
    <col min="15112" max="15112" width="20.140625" customWidth="1"/>
    <col min="15113" max="15113" width="4.42578125" customWidth="1"/>
    <col min="15361" max="15361" width="29.5703125" customWidth="1"/>
    <col min="15362" max="15362" width="4.5703125" customWidth="1"/>
    <col min="15363" max="15363" width="12.140625" customWidth="1"/>
    <col min="15364" max="15364" width="32" customWidth="1"/>
    <col min="15365" max="15365" width="24.28515625" customWidth="1"/>
    <col min="15366" max="15366" width="19.140625" customWidth="1"/>
    <col min="15367" max="15367" width="4" customWidth="1"/>
    <col min="15368" max="15368" width="20.140625" customWidth="1"/>
    <col min="15369" max="15369" width="4.42578125" customWidth="1"/>
    <col min="15617" max="15617" width="29.5703125" customWidth="1"/>
    <col min="15618" max="15618" width="4.5703125" customWidth="1"/>
    <col min="15619" max="15619" width="12.140625" customWidth="1"/>
    <col min="15620" max="15620" width="32" customWidth="1"/>
    <col min="15621" max="15621" width="24.28515625" customWidth="1"/>
    <col min="15622" max="15622" width="19.140625" customWidth="1"/>
    <col min="15623" max="15623" width="4" customWidth="1"/>
    <col min="15624" max="15624" width="20.140625" customWidth="1"/>
    <col min="15625" max="15625" width="4.42578125" customWidth="1"/>
    <col min="15873" max="15873" width="29.5703125" customWidth="1"/>
    <col min="15874" max="15874" width="4.5703125" customWidth="1"/>
    <col min="15875" max="15875" width="12.140625" customWidth="1"/>
    <col min="15876" max="15876" width="32" customWidth="1"/>
    <col min="15877" max="15877" width="24.28515625" customWidth="1"/>
    <col min="15878" max="15878" width="19.140625" customWidth="1"/>
    <col min="15879" max="15879" width="4" customWidth="1"/>
    <col min="15880" max="15880" width="20.140625" customWidth="1"/>
    <col min="15881" max="15881" width="4.42578125" customWidth="1"/>
    <col min="16129" max="16129" width="29.5703125" customWidth="1"/>
    <col min="16130" max="16130" width="4.5703125" customWidth="1"/>
    <col min="16131" max="16131" width="12.140625" customWidth="1"/>
    <col min="16132" max="16132" width="32" customWidth="1"/>
    <col min="16133" max="16133" width="24.28515625" customWidth="1"/>
    <col min="16134" max="16134" width="19.140625" customWidth="1"/>
    <col min="16135" max="16135" width="4" customWidth="1"/>
    <col min="16136" max="16136" width="20.140625" customWidth="1"/>
    <col min="16137" max="16137" width="4.42578125" customWidth="1"/>
  </cols>
  <sheetData>
    <row r="1" spans="1:11" ht="29.25" customHeight="1" x14ac:dyDescent="0.35">
      <c r="A1" s="113"/>
      <c r="B1" s="114"/>
      <c r="C1" s="114"/>
      <c r="D1" s="115" t="s">
        <v>131</v>
      </c>
      <c r="E1" s="116"/>
      <c r="F1" s="116"/>
      <c r="G1" s="116" t="s">
        <v>132</v>
      </c>
      <c r="H1" s="117"/>
      <c r="J1" s="118"/>
    </row>
    <row r="2" spans="1:11" x14ac:dyDescent="0.25">
      <c r="A2" s="119"/>
      <c r="B2" s="120"/>
      <c r="C2" s="120"/>
      <c r="D2" s="120"/>
      <c r="E2" s="120"/>
      <c r="F2" s="120"/>
      <c r="G2" s="120"/>
      <c r="H2" s="121"/>
    </row>
    <row r="3" spans="1:11" x14ac:dyDescent="0.25">
      <c r="A3" s="119"/>
      <c r="B3" s="120"/>
      <c r="C3" s="120"/>
      <c r="D3" s="120"/>
      <c r="E3" s="120"/>
      <c r="F3" s="120"/>
      <c r="G3" s="120"/>
      <c r="H3" s="121"/>
      <c r="I3" s="122"/>
    </row>
    <row r="4" spans="1:11" ht="15.75" x14ac:dyDescent="0.25">
      <c r="A4" s="119" t="s">
        <v>133</v>
      </c>
      <c r="B4" s="123"/>
      <c r="C4" s="124" t="str">
        <f>[2]Workings!D4</f>
        <v>Langley Fitzurse CE Primary School</v>
      </c>
      <c r="D4" s="125"/>
      <c r="E4" s="126"/>
      <c r="F4" s="120" t="s">
        <v>134</v>
      </c>
      <c r="G4" s="120"/>
      <c r="H4" s="127">
        <f>[2]Workings!D7</f>
        <v>43709</v>
      </c>
    </row>
    <row r="5" spans="1:11" x14ac:dyDescent="0.25">
      <c r="A5" s="119"/>
      <c r="B5" s="128"/>
      <c r="C5" s="120"/>
      <c r="D5" s="120"/>
      <c r="E5" s="120"/>
      <c r="F5" s="120"/>
      <c r="G5" s="120"/>
      <c r="H5" s="129"/>
    </row>
    <row r="6" spans="1:11" x14ac:dyDescent="0.25">
      <c r="A6" s="119" t="s">
        <v>135</v>
      </c>
      <c r="B6" s="128"/>
      <c r="C6" s="130">
        <f>[2]Workings!D5</f>
        <v>3102</v>
      </c>
      <c r="D6" s="120"/>
      <c r="E6" s="120"/>
      <c r="F6" s="131" t="s">
        <v>136</v>
      </c>
      <c r="G6" s="120"/>
      <c r="H6" s="132" t="s">
        <v>137</v>
      </c>
    </row>
    <row r="7" spans="1:11" x14ac:dyDescent="0.25">
      <c r="A7" s="119"/>
      <c r="B7" s="120"/>
      <c r="C7" s="133"/>
      <c r="D7" s="120"/>
      <c r="E7" s="120"/>
      <c r="F7" s="131" t="s">
        <v>138</v>
      </c>
      <c r="G7" s="120"/>
      <c r="H7" s="132" t="s">
        <v>139</v>
      </c>
    </row>
    <row r="8" spans="1:11" x14ac:dyDescent="0.25">
      <c r="A8" s="119"/>
      <c r="B8" s="120"/>
      <c r="C8" s="120"/>
      <c r="D8" s="120"/>
      <c r="E8" s="120" t="s">
        <v>140</v>
      </c>
      <c r="F8" s="131" t="s">
        <v>141</v>
      </c>
      <c r="G8" s="120"/>
      <c r="H8" s="132" t="s">
        <v>141</v>
      </c>
    </row>
    <row r="9" spans="1:11" x14ac:dyDescent="0.25">
      <c r="A9" s="119"/>
      <c r="B9" s="120"/>
      <c r="C9" s="120"/>
      <c r="D9" s="120"/>
      <c r="E9" s="120" t="s">
        <v>142</v>
      </c>
      <c r="F9" s="120"/>
      <c r="G9" s="120"/>
      <c r="H9" s="134"/>
    </row>
    <row r="10" spans="1:11" ht="15.75" x14ac:dyDescent="0.25">
      <c r="A10" s="135"/>
      <c r="B10" s="120"/>
      <c r="C10" s="120"/>
      <c r="D10" s="120"/>
      <c r="E10" s="120"/>
      <c r="F10" s="120"/>
      <c r="G10" s="120"/>
      <c r="H10" s="134"/>
    </row>
    <row r="11" spans="1:11" ht="15.75" x14ac:dyDescent="0.25">
      <c r="A11" s="136" t="s">
        <v>143</v>
      </c>
      <c r="C11" s="120" t="s">
        <v>144</v>
      </c>
      <c r="D11" s="120"/>
      <c r="E11" s="120" t="s">
        <v>145</v>
      </c>
      <c r="F11" s="137">
        <f>[2]Workings!F19</f>
        <v>145304.79</v>
      </c>
      <c r="G11" s="138"/>
      <c r="H11" s="139">
        <f>[2]Workings!I19</f>
        <v>366915</v>
      </c>
      <c r="I11" s="140" t="str">
        <f>IF(F11&gt;H11,"O","")</f>
        <v/>
      </c>
    </row>
    <row r="12" spans="1:11" ht="15.75" x14ac:dyDescent="0.25">
      <c r="A12" s="119"/>
      <c r="C12" s="120" t="s">
        <v>146</v>
      </c>
      <c r="D12" s="120"/>
      <c r="E12" s="120" t="s">
        <v>147</v>
      </c>
      <c r="F12" s="137">
        <f>[2]Workings!F24</f>
        <v>0</v>
      </c>
      <c r="G12" s="138"/>
      <c r="H12" s="139">
        <f>[2]Workings!I24</f>
        <v>0</v>
      </c>
      <c r="I12" s="140" t="str">
        <f t="shared" ref="I12:I19" si="0">IF(F12&gt;H12,"O","")</f>
        <v/>
      </c>
    </row>
    <row r="13" spans="1:11" ht="15.75" x14ac:dyDescent="0.25">
      <c r="A13" s="119"/>
      <c r="C13" s="120" t="s">
        <v>148</v>
      </c>
      <c r="D13" s="120"/>
      <c r="E13" s="120" t="s">
        <v>149</v>
      </c>
      <c r="F13" s="137">
        <f>[2]Workings!F30</f>
        <v>5825.6</v>
      </c>
      <c r="G13" s="138"/>
      <c r="H13" s="139">
        <f>[2]Workings!I30</f>
        <v>13818</v>
      </c>
      <c r="I13" s="140" t="str">
        <f t="shared" si="0"/>
        <v/>
      </c>
      <c r="K13" s="141"/>
    </row>
    <row r="14" spans="1:11" ht="15.75" x14ac:dyDescent="0.25">
      <c r="A14" s="119"/>
      <c r="C14" s="120" t="s">
        <v>150</v>
      </c>
      <c r="D14" s="120"/>
      <c r="E14" s="120" t="s">
        <v>151</v>
      </c>
      <c r="F14" s="137">
        <f>[2]Workings!F34</f>
        <v>9436.1200000000008</v>
      </c>
      <c r="G14" s="138"/>
      <c r="H14" s="139">
        <f>[2]Workings!I34</f>
        <v>23720</v>
      </c>
      <c r="I14" s="140" t="str">
        <f t="shared" si="0"/>
        <v/>
      </c>
    </row>
    <row r="15" spans="1:11" ht="15.75" x14ac:dyDescent="0.25">
      <c r="A15" s="119"/>
      <c r="C15" t="s">
        <v>152</v>
      </c>
      <c r="D15" s="120"/>
      <c r="E15" s="120" t="s">
        <v>153</v>
      </c>
      <c r="F15" s="137">
        <f>[2]Workings!F37</f>
        <v>0</v>
      </c>
      <c r="G15" s="138"/>
      <c r="H15" s="139">
        <f>[2]Workings!I37</f>
        <v>0</v>
      </c>
      <c r="I15" s="140" t="str">
        <f t="shared" si="0"/>
        <v/>
      </c>
    </row>
    <row r="16" spans="1:11" ht="15.75" x14ac:dyDescent="0.25">
      <c r="A16" s="119"/>
      <c r="C16" t="s">
        <v>154</v>
      </c>
      <c r="D16" s="120"/>
      <c r="E16" s="120" t="s">
        <v>155</v>
      </c>
      <c r="F16" s="137">
        <f>[2]Workings!F46</f>
        <v>439.05</v>
      </c>
      <c r="G16" s="138"/>
      <c r="H16" s="139">
        <f>[2]Workings!I46</f>
        <v>439.05</v>
      </c>
      <c r="I16" s="140" t="str">
        <f t="shared" si="0"/>
        <v/>
      </c>
    </row>
    <row r="17" spans="1:9" ht="15.75" x14ac:dyDescent="0.25">
      <c r="A17" s="119"/>
      <c r="C17" t="s">
        <v>156</v>
      </c>
      <c r="D17" s="120"/>
      <c r="E17" s="120" t="s">
        <v>157</v>
      </c>
      <c r="F17" s="137">
        <f>[2]Workings!F78</f>
        <v>31380.14</v>
      </c>
      <c r="G17" s="138"/>
      <c r="H17" s="139">
        <f>[2]Workings!I78</f>
        <v>33187</v>
      </c>
      <c r="I17" s="140" t="str">
        <f t="shared" si="0"/>
        <v/>
      </c>
    </row>
    <row r="18" spans="1:9" ht="15.75" x14ac:dyDescent="0.25">
      <c r="A18" s="119"/>
      <c r="C18" t="s">
        <v>158</v>
      </c>
      <c r="D18" s="120"/>
      <c r="E18" s="120" t="s">
        <v>159</v>
      </c>
      <c r="F18" s="137">
        <f>[2]Workings!F82</f>
        <v>0</v>
      </c>
      <c r="G18" s="138"/>
      <c r="H18" s="139">
        <f>[2]Workings!I82</f>
        <v>0</v>
      </c>
      <c r="I18" s="140" t="str">
        <f t="shared" si="0"/>
        <v/>
      </c>
    </row>
    <row r="19" spans="1:9" ht="15.75" x14ac:dyDescent="0.25">
      <c r="A19" s="119"/>
      <c r="C19" t="s">
        <v>160</v>
      </c>
      <c r="D19" s="120"/>
      <c r="E19" s="120" t="s">
        <v>161</v>
      </c>
      <c r="F19" s="137">
        <f>[2]Workings!F86</f>
        <v>15925</v>
      </c>
      <c r="G19" s="138"/>
      <c r="H19" s="139">
        <f>[2]Workings!I86</f>
        <v>27821</v>
      </c>
      <c r="I19" s="140" t="str">
        <f t="shared" si="0"/>
        <v/>
      </c>
    </row>
    <row r="20" spans="1:9" ht="15.75" x14ac:dyDescent="0.25">
      <c r="A20" s="142"/>
      <c r="B20" s="143"/>
      <c r="C20" s="143" t="s">
        <v>162</v>
      </c>
      <c r="D20" s="143"/>
      <c r="E20" s="144" t="s">
        <v>163</v>
      </c>
      <c r="F20" s="145">
        <f>SUM(F11:F19)</f>
        <v>208310.7</v>
      </c>
      <c r="G20" s="146" t="s">
        <v>163</v>
      </c>
      <c r="H20" s="147">
        <f>SUM(H11:H19)</f>
        <v>465900.05</v>
      </c>
      <c r="I20" s="140"/>
    </row>
    <row r="21" spans="1:9" s="149" customFormat="1" ht="15.75" x14ac:dyDescent="0.25">
      <c r="A21" s="119"/>
      <c r="B21" s="143"/>
      <c r="C21" s="120"/>
      <c r="D21" s="120"/>
      <c r="E21" s="120"/>
      <c r="F21" s="138"/>
      <c r="G21" s="138"/>
      <c r="H21" s="148"/>
    </row>
    <row r="22" spans="1:9" ht="15.75" x14ac:dyDescent="0.25">
      <c r="A22" s="119"/>
      <c r="B22" s="120"/>
      <c r="C22" s="120" t="s">
        <v>164</v>
      </c>
      <c r="E22" s="120" t="s">
        <v>165</v>
      </c>
      <c r="F22" s="137">
        <f>[2]Workings!F118</f>
        <v>114906.63</v>
      </c>
      <c r="G22" s="138"/>
      <c r="H22" s="139">
        <f>[2]Workings!I118</f>
        <v>242996</v>
      </c>
      <c r="I22" s="140" t="str">
        <f t="shared" ref="I22:I28" si="1">IF(F22&gt;H22,"O","")</f>
        <v/>
      </c>
    </row>
    <row r="23" spans="1:9" ht="15.75" x14ac:dyDescent="0.25">
      <c r="A23" s="119"/>
      <c r="B23" s="120"/>
      <c r="C23" s="120" t="s">
        <v>166</v>
      </c>
      <c r="E23" s="120" t="s">
        <v>167</v>
      </c>
      <c r="F23" s="137">
        <f>[2]Workings!F152</f>
        <v>53504.65</v>
      </c>
      <c r="G23" s="138"/>
      <c r="H23" s="139">
        <f>[2]Workings!I152</f>
        <v>113101</v>
      </c>
      <c r="I23" s="140" t="str">
        <f t="shared" si="1"/>
        <v/>
      </c>
    </row>
    <row r="24" spans="1:9" ht="15.75" x14ac:dyDescent="0.25">
      <c r="A24" s="119"/>
      <c r="B24" s="120"/>
      <c r="C24" s="120" t="s">
        <v>168</v>
      </c>
      <c r="D24" s="120"/>
      <c r="E24" s="120" t="s">
        <v>169</v>
      </c>
      <c r="F24" s="137">
        <f>[2]Workings!F181</f>
        <v>2426.17</v>
      </c>
      <c r="G24" s="138"/>
      <c r="H24" s="139">
        <f>[2]Workings!I181</f>
        <v>8940.5</v>
      </c>
      <c r="I24" s="140" t="str">
        <f t="shared" si="1"/>
        <v/>
      </c>
    </row>
    <row r="25" spans="1:9" ht="15.75" x14ac:dyDescent="0.25">
      <c r="A25" s="119"/>
      <c r="B25" s="120"/>
      <c r="C25" s="120" t="s">
        <v>170</v>
      </c>
      <c r="D25" s="120"/>
      <c r="E25" s="120" t="s">
        <v>171</v>
      </c>
      <c r="F25" s="137">
        <f>[2]Workings!F195</f>
        <v>2870.48</v>
      </c>
      <c r="G25" s="138"/>
      <c r="H25" s="139">
        <f>[2]Workings!I195</f>
        <v>9412</v>
      </c>
      <c r="I25" s="140" t="str">
        <f t="shared" si="1"/>
        <v/>
      </c>
    </row>
    <row r="26" spans="1:9" ht="15.75" x14ac:dyDescent="0.25">
      <c r="A26" s="119"/>
      <c r="B26" s="120"/>
      <c r="C26" s="120" t="s">
        <v>172</v>
      </c>
      <c r="D26" s="120"/>
      <c r="E26" s="120" t="s">
        <v>173</v>
      </c>
      <c r="F26" s="137">
        <f>[2]Workings!F228</f>
        <v>8534.3000000000011</v>
      </c>
      <c r="G26" s="138"/>
      <c r="H26" s="139">
        <f>[2]Workings!I228</f>
        <v>29322</v>
      </c>
      <c r="I26" s="140" t="str">
        <f t="shared" si="1"/>
        <v/>
      </c>
    </row>
    <row r="27" spans="1:9" ht="15.75" x14ac:dyDescent="0.25">
      <c r="A27" s="119"/>
      <c r="B27" s="120"/>
      <c r="C27" s="120" t="s">
        <v>174</v>
      </c>
      <c r="D27" s="120"/>
      <c r="E27" s="120" t="s">
        <v>175</v>
      </c>
      <c r="F27" s="137">
        <f>[2]Workings!F263</f>
        <v>27888.720000000001</v>
      </c>
      <c r="G27" s="150"/>
      <c r="H27" s="139">
        <f>[2]Workings!I263</f>
        <v>43550.58</v>
      </c>
      <c r="I27" s="140" t="str">
        <f t="shared" si="1"/>
        <v/>
      </c>
    </row>
    <row r="28" spans="1:9" ht="15.75" x14ac:dyDescent="0.25">
      <c r="A28" s="119"/>
      <c r="B28" s="120"/>
      <c r="C28" s="120" t="s">
        <v>176</v>
      </c>
      <c r="D28" s="120"/>
      <c r="E28" s="120" t="s">
        <v>177</v>
      </c>
      <c r="F28" s="137">
        <f>[2]Workings!F311</f>
        <v>27367.91</v>
      </c>
      <c r="G28" s="150"/>
      <c r="H28" s="139">
        <f>[2]Workings!I311</f>
        <v>47694.97</v>
      </c>
      <c r="I28" s="140" t="str">
        <f t="shared" si="1"/>
        <v/>
      </c>
    </row>
    <row r="29" spans="1:9" ht="15.75" x14ac:dyDescent="0.25">
      <c r="A29" s="142" t="s">
        <v>178</v>
      </c>
      <c r="B29" s="143"/>
      <c r="C29" s="143" t="s">
        <v>179</v>
      </c>
      <c r="D29" s="143"/>
      <c r="E29" s="151" t="s">
        <v>180</v>
      </c>
      <c r="F29" s="145">
        <f>SUM(F22:F28)</f>
        <v>237498.86000000002</v>
      </c>
      <c r="G29" s="146" t="s">
        <v>180</v>
      </c>
      <c r="H29" s="147">
        <f>SUM(H22:H28)</f>
        <v>495017.05000000005</v>
      </c>
      <c r="I29" s="140"/>
    </row>
    <row r="30" spans="1:9" ht="15.75" thickBot="1" x14ac:dyDescent="0.3">
      <c r="A30" s="119"/>
      <c r="B30" s="120"/>
      <c r="C30" s="120"/>
      <c r="D30" s="120"/>
      <c r="E30" s="120"/>
      <c r="F30" s="138"/>
      <c r="G30" s="138"/>
      <c r="H30" s="148"/>
    </row>
    <row r="31" spans="1:9" ht="16.5" thickBot="1" x14ac:dyDescent="0.3">
      <c r="A31" s="142" t="s">
        <v>181</v>
      </c>
      <c r="B31" s="143"/>
      <c r="C31" s="143"/>
      <c r="D31" s="143"/>
      <c r="E31" s="152" t="s">
        <v>182</v>
      </c>
      <c r="F31" s="153">
        <f>F20-F29</f>
        <v>-29188.160000000003</v>
      </c>
      <c r="G31" s="146" t="s">
        <v>183</v>
      </c>
      <c r="H31" s="153">
        <f>H20-H29</f>
        <v>-29117.000000000058</v>
      </c>
    </row>
    <row r="32" spans="1:9" ht="15.75" x14ac:dyDescent="0.25">
      <c r="A32" s="142"/>
      <c r="B32" s="143"/>
      <c r="C32" s="143"/>
      <c r="D32" s="143"/>
      <c r="E32" s="143"/>
      <c r="F32" s="154"/>
      <c r="G32" s="155"/>
      <c r="H32" s="156"/>
    </row>
    <row r="33" spans="1:9" s="149" customFormat="1" ht="15.75" x14ac:dyDescent="0.25">
      <c r="A33" s="157" t="s">
        <v>184</v>
      </c>
      <c r="B33" s="158" t="s">
        <v>178</v>
      </c>
      <c r="C33" s="158" t="s">
        <v>185</v>
      </c>
      <c r="D33" s="143"/>
      <c r="E33" s="158" t="s">
        <v>186</v>
      </c>
      <c r="F33" s="154"/>
      <c r="G33" s="146" t="s">
        <v>187</v>
      </c>
      <c r="H33" s="139">
        <f>[2]Workings!I341+[2]Workings!I344+[2]Workings!I345</f>
        <v>71635</v>
      </c>
      <c r="I33" s="159"/>
    </row>
    <row r="34" spans="1:9" s="149" customFormat="1" ht="16.5" thickBot="1" x14ac:dyDescent="0.3">
      <c r="A34" s="142"/>
      <c r="B34" s="158"/>
      <c r="C34" s="158"/>
      <c r="D34" s="143"/>
      <c r="E34" s="158"/>
      <c r="F34" s="154"/>
      <c r="G34" s="155"/>
      <c r="H34" s="156"/>
    </row>
    <row r="35" spans="1:9" s="149" customFormat="1" ht="16.5" thickBot="1" x14ac:dyDescent="0.3">
      <c r="A35" s="142"/>
      <c r="B35" s="158"/>
      <c r="C35" s="143" t="s">
        <v>188</v>
      </c>
      <c r="D35" s="143"/>
      <c r="E35" s="160" t="s">
        <v>189</v>
      </c>
      <c r="F35" s="161">
        <f>H35/(H11+H12)</f>
        <v>0.11587969965795877</v>
      </c>
      <c r="G35" s="146" t="s">
        <v>190</v>
      </c>
      <c r="H35" s="153">
        <f>H33+H31</f>
        <v>42517.999999999942</v>
      </c>
    </row>
    <row r="36" spans="1:9" s="149" customFormat="1" ht="15.75" x14ac:dyDescent="0.25">
      <c r="A36" s="142"/>
      <c r="B36" s="158"/>
      <c r="C36" s="143"/>
      <c r="D36" s="143"/>
      <c r="E36" s="158"/>
      <c r="F36" s="160"/>
      <c r="G36" s="146"/>
      <c r="H36" s="156"/>
    </row>
    <row r="37" spans="1:9" s="149" customFormat="1" ht="15.75" x14ac:dyDescent="0.25">
      <c r="A37" s="142"/>
      <c r="B37" s="158"/>
      <c r="C37" s="143"/>
      <c r="D37" s="143"/>
      <c r="E37" s="158"/>
      <c r="F37" s="131" t="s">
        <v>136</v>
      </c>
      <c r="G37" s="120"/>
      <c r="H37" s="132" t="s">
        <v>137</v>
      </c>
    </row>
    <row r="38" spans="1:9" s="149" customFormat="1" ht="15.75" x14ac:dyDescent="0.25">
      <c r="A38" s="142"/>
      <c r="B38" s="158"/>
      <c r="C38" s="143"/>
      <c r="D38" s="143"/>
      <c r="E38" s="120"/>
      <c r="F38" s="131" t="s">
        <v>138</v>
      </c>
      <c r="G38" s="120"/>
      <c r="H38" s="132" t="s">
        <v>139</v>
      </c>
    </row>
    <row r="39" spans="1:9" s="149" customFormat="1" ht="15.75" x14ac:dyDescent="0.25">
      <c r="A39" s="142"/>
      <c r="B39" s="158"/>
      <c r="C39" s="143"/>
      <c r="D39" s="143"/>
      <c r="E39" s="120"/>
      <c r="F39" s="131" t="s">
        <v>141</v>
      </c>
      <c r="G39" s="120"/>
      <c r="H39" s="132" t="s">
        <v>141</v>
      </c>
    </row>
    <row r="40" spans="1:9" s="149" customFormat="1" ht="15.75" x14ac:dyDescent="0.25">
      <c r="A40" s="142"/>
      <c r="B40" s="158"/>
      <c r="C40" s="158"/>
      <c r="D40" s="143"/>
      <c r="E40" s="158"/>
      <c r="F40" s="154"/>
      <c r="G40" s="155"/>
      <c r="H40" s="148"/>
    </row>
    <row r="41" spans="1:9" s="149" customFormat="1" ht="15.75" x14ac:dyDescent="0.25">
      <c r="A41" s="136" t="s">
        <v>191</v>
      </c>
      <c r="B41" s="158"/>
      <c r="C41" s="158" t="s">
        <v>192</v>
      </c>
      <c r="D41" s="143"/>
      <c r="E41" s="158" t="s">
        <v>193</v>
      </c>
      <c r="F41" s="137">
        <f>[2]Workings!F100</f>
        <v>5012.5</v>
      </c>
      <c r="G41" s="146" t="s">
        <v>194</v>
      </c>
      <c r="H41" s="162">
        <f>[2]Workings!I100</f>
        <v>5013</v>
      </c>
      <c r="I41" s="140" t="str">
        <f>IF(F41&gt;H41,"O","")</f>
        <v/>
      </c>
    </row>
    <row r="42" spans="1:9" s="149" customFormat="1" ht="15.75" x14ac:dyDescent="0.25">
      <c r="A42" s="142"/>
      <c r="B42" s="158"/>
      <c r="C42" s="158" t="s">
        <v>195</v>
      </c>
      <c r="D42" s="143"/>
      <c r="E42" s="158" t="s">
        <v>196</v>
      </c>
      <c r="F42" s="137">
        <f>[2]Workings!F332</f>
        <v>1730.96</v>
      </c>
      <c r="G42" s="146" t="s">
        <v>197</v>
      </c>
      <c r="H42" s="163">
        <f>[2]Workings!I332</f>
        <v>7399</v>
      </c>
      <c r="I42" s="140" t="str">
        <f>IF(F42&gt;H42,"O","")</f>
        <v/>
      </c>
    </row>
    <row r="43" spans="1:9" s="149" customFormat="1" ht="15.75" x14ac:dyDescent="0.25">
      <c r="A43" s="142"/>
      <c r="B43" s="158"/>
      <c r="C43" s="158"/>
      <c r="D43" s="143"/>
      <c r="E43" s="158"/>
      <c r="F43" s="154"/>
      <c r="G43" s="146"/>
      <c r="H43" s="164"/>
    </row>
    <row r="44" spans="1:9" s="149" customFormat="1" ht="15.75" x14ac:dyDescent="0.25">
      <c r="A44" s="157" t="s">
        <v>198</v>
      </c>
      <c r="B44" s="158"/>
      <c r="C44" s="158" t="s">
        <v>199</v>
      </c>
      <c r="D44" s="143"/>
      <c r="E44" s="158" t="s">
        <v>200</v>
      </c>
      <c r="F44" s="154"/>
      <c r="G44" s="146" t="s">
        <v>201</v>
      </c>
      <c r="H44" s="139">
        <f>[2]Workings!I348+[2]Workings!I351</f>
        <v>15351</v>
      </c>
      <c r="I44" s="159"/>
    </row>
    <row r="45" spans="1:9" s="149" customFormat="1" ht="16.5" thickBot="1" x14ac:dyDescent="0.3">
      <c r="A45" s="142"/>
      <c r="B45" s="143"/>
      <c r="C45" s="143"/>
      <c r="D45" s="143"/>
      <c r="F45" s="154"/>
      <c r="G45" s="155"/>
      <c r="H45" s="148"/>
      <c r="I45" s="159"/>
    </row>
    <row r="46" spans="1:9" s="149" customFormat="1" ht="16.5" thickBot="1" x14ac:dyDescent="0.3">
      <c r="A46" s="142"/>
      <c r="B46" s="143"/>
      <c r="C46" s="143" t="s">
        <v>202</v>
      </c>
      <c r="D46" s="143"/>
      <c r="F46" s="160" t="s">
        <v>203</v>
      </c>
      <c r="G46" s="146" t="s">
        <v>204</v>
      </c>
      <c r="H46" s="153">
        <f>H41-H42+H44</f>
        <v>12965</v>
      </c>
      <c r="I46" s="159"/>
    </row>
    <row r="47" spans="1:9" s="149" customFormat="1" ht="16.5" thickBot="1" x14ac:dyDescent="0.3">
      <c r="A47" s="142"/>
      <c r="B47" s="143"/>
      <c r="C47" s="143"/>
      <c r="D47" s="143"/>
      <c r="F47" s="160"/>
      <c r="G47" s="146"/>
      <c r="H47" s="165"/>
      <c r="I47" s="159"/>
    </row>
    <row r="48" spans="1:9" s="149" customFormat="1" ht="16.5" thickBot="1" x14ac:dyDescent="0.3">
      <c r="A48" s="157" t="s">
        <v>205</v>
      </c>
      <c r="B48" s="143"/>
      <c r="C48" s="143" t="s">
        <v>206</v>
      </c>
      <c r="D48" s="143"/>
      <c r="F48" s="160" t="s">
        <v>207</v>
      </c>
      <c r="G48" s="146" t="s">
        <v>208</v>
      </c>
      <c r="H48" s="153">
        <f>IF(C4=0,"",H46+H35)</f>
        <v>55482.999999999942</v>
      </c>
      <c r="I48" s="159"/>
    </row>
    <row r="49" spans="1:9" s="149" customFormat="1" ht="15.75" x14ac:dyDescent="0.25">
      <c r="A49" s="142"/>
      <c r="B49" s="143"/>
      <c r="C49" s="143"/>
      <c r="D49" s="143"/>
      <c r="F49" s="160"/>
      <c r="G49" s="146"/>
      <c r="H49" s="156"/>
      <c r="I49" s="159"/>
    </row>
    <row r="50" spans="1:9" s="149" customFormat="1" ht="16.5" thickBot="1" x14ac:dyDescent="0.3">
      <c r="A50" s="166"/>
      <c r="B50" s="167"/>
      <c r="C50" s="167"/>
      <c r="D50" s="167"/>
      <c r="E50" s="167"/>
      <c r="F50" s="167"/>
      <c r="G50" s="167"/>
      <c r="H50" s="168"/>
      <c r="I50" s="159"/>
    </row>
    <row r="51" spans="1:9" ht="15.75" x14ac:dyDescent="0.25">
      <c r="A51" s="136" t="s">
        <v>209</v>
      </c>
      <c r="B51" s="120"/>
      <c r="C51" s="120"/>
      <c r="D51" s="120"/>
      <c r="E51" s="120"/>
      <c r="F51" s="120"/>
      <c r="G51" s="120"/>
      <c r="H51" s="134"/>
    </row>
    <row r="52" spans="1:9" x14ac:dyDescent="0.25">
      <c r="A52" s="119"/>
      <c r="B52" s="120"/>
      <c r="C52" s="120"/>
      <c r="D52" s="120"/>
      <c r="E52" s="120"/>
      <c r="F52" s="120"/>
      <c r="G52" s="120"/>
      <c r="H52" s="134"/>
    </row>
    <row r="53" spans="1:9" x14ac:dyDescent="0.25">
      <c r="A53" s="119" t="s">
        <v>210</v>
      </c>
      <c r="B53" s="120"/>
      <c r="C53" s="120"/>
      <c r="D53" s="120"/>
      <c r="E53" s="120"/>
      <c r="F53" s="120"/>
      <c r="G53" s="120"/>
      <c r="H53" s="134"/>
    </row>
    <row r="54" spans="1:9" x14ac:dyDescent="0.25">
      <c r="A54" s="119" t="s">
        <v>211</v>
      </c>
      <c r="B54" s="120"/>
      <c r="C54" s="120"/>
      <c r="D54" s="120"/>
      <c r="E54" s="120"/>
      <c r="F54" s="120"/>
      <c r="G54" s="120"/>
      <c r="H54" s="134"/>
    </row>
    <row r="55" spans="1:9" x14ac:dyDescent="0.25">
      <c r="A55" s="119"/>
      <c r="B55" s="120"/>
      <c r="C55" s="120"/>
      <c r="D55" s="120"/>
      <c r="E55" s="120"/>
      <c r="F55" s="120"/>
      <c r="G55" s="120"/>
      <c r="H55" s="134"/>
    </row>
    <row r="56" spans="1:9" x14ac:dyDescent="0.25">
      <c r="A56" s="119"/>
      <c r="B56" s="120"/>
      <c r="C56" s="120"/>
      <c r="D56" s="120"/>
      <c r="E56" s="120"/>
      <c r="F56" s="120"/>
      <c r="G56" s="120"/>
      <c r="H56" s="134"/>
    </row>
    <row r="57" spans="1:9" x14ac:dyDescent="0.25">
      <c r="A57" s="119" t="s">
        <v>212</v>
      </c>
      <c r="B57" s="120"/>
      <c r="C57" s="120"/>
      <c r="D57" s="120"/>
      <c r="E57" s="120"/>
      <c r="F57" s="120"/>
      <c r="G57" s="120"/>
      <c r="H57" s="169" t="s">
        <v>213</v>
      </c>
    </row>
    <row r="58" spans="1:9" x14ac:dyDescent="0.25">
      <c r="A58" s="170" t="s">
        <v>214</v>
      </c>
      <c r="B58" s="120"/>
      <c r="C58" s="120"/>
      <c r="D58" s="120"/>
      <c r="E58" s="120"/>
      <c r="F58" s="120"/>
      <c r="G58" s="120"/>
      <c r="H58" s="134"/>
    </row>
    <row r="59" spans="1:9" x14ac:dyDescent="0.25">
      <c r="A59" s="119"/>
      <c r="B59" s="120"/>
      <c r="C59" s="120"/>
      <c r="D59" s="120"/>
      <c r="E59" s="120"/>
      <c r="F59" s="120"/>
      <c r="G59" s="120"/>
      <c r="H59" s="134"/>
    </row>
    <row r="60" spans="1:9" x14ac:dyDescent="0.25">
      <c r="A60" s="119"/>
      <c r="B60" s="120" t="s">
        <v>215</v>
      </c>
      <c r="C60" s="120"/>
      <c r="D60" s="120"/>
      <c r="E60" s="171"/>
      <c r="F60" s="171"/>
      <c r="G60" s="171"/>
      <c r="H60" s="169" t="s">
        <v>216</v>
      </c>
    </row>
    <row r="61" spans="1:9" x14ac:dyDescent="0.25">
      <c r="A61" s="119"/>
      <c r="B61" s="120"/>
      <c r="C61" s="120"/>
      <c r="D61" s="120"/>
      <c r="E61" s="120"/>
      <c r="F61" s="120"/>
      <c r="G61" s="120"/>
      <c r="H61" s="134"/>
    </row>
    <row r="62" spans="1:9" x14ac:dyDescent="0.25">
      <c r="A62" s="119"/>
      <c r="B62" s="120" t="s">
        <v>217</v>
      </c>
      <c r="C62" s="120"/>
      <c r="D62" s="120"/>
      <c r="E62" s="171"/>
      <c r="F62" s="171"/>
      <c r="G62" s="171"/>
      <c r="H62" s="169" t="s">
        <v>216</v>
      </c>
    </row>
    <row r="63" spans="1:9" ht="15.75" thickBot="1" x14ac:dyDescent="0.3">
      <c r="A63" s="166"/>
      <c r="B63" s="167"/>
      <c r="C63" s="167"/>
      <c r="D63" s="172"/>
      <c r="E63" s="167"/>
      <c r="F63" s="167"/>
      <c r="G63" s="167"/>
      <c r="H63" s="168"/>
    </row>
    <row r="64" spans="1:9" ht="15.75" x14ac:dyDescent="0.25">
      <c r="A64" s="136" t="s">
        <v>218</v>
      </c>
      <c r="B64" s="120"/>
      <c r="C64" s="120"/>
      <c r="E64" s="120"/>
      <c r="F64" s="120"/>
      <c r="G64" s="120"/>
      <c r="H64" s="134"/>
    </row>
    <row r="65" spans="1:8" x14ac:dyDescent="0.25">
      <c r="H65" s="134"/>
    </row>
    <row r="66" spans="1:8" ht="15.75" x14ac:dyDescent="0.25">
      <c r="A66" s="173" t="s">
        <v>219</v>
      </c>
      <c r="H66" s="134"/>
    </row>
    <row r="67" spans="1:8" x14ac:dyDescent="0.25">
      <c r="H67" s="134"/>
    </row>
    <row r="68" spans="1:8" ht="15.75" x14ac:dyDescent="0.25">
      <c r="A68" s="174" t="s">
        <v>220</v>
      </c>
      <c r="B68" s="158"/>
      <c r="C68" s="158"/>
      <c r="D68" s="158"/>
      <c r="E68" s="158"/>
      <c r="F68" s="120"/>
      <c r="G68" s="120"/>
      <c r="H68" s="134"/>
    </row>
    <row r="69" spans="1:8" ht="15.75" x14ac:dyDescent="0.25">
      <c r="A69" s="175" t="s">
        <v>221</v>
      </c>
      <c r="B69" s="158"/>
      <c r="C69" s="158"/>
      <c r="D69" s="158"/>
      <c r="E69" s="158"/>
      <c r="F69" s="120"/>
      <c r="G69" s="120"/>
      <c r="H69" s="134"/>
    </row>
    <row r="70" spans="1:8" ht="15.75" x14ac:dyDescent="0.25">
      <c r="A70" s="175" t="s">
        <v>222</v>
      </c>
      <c r="B70" s="158"/>
      <c r="C70" s="158"/>
      <c r="D70" s="158"/>
      <c r="F70" s="158"/>
      <c r="G70" s="120"/>
      <c r="H70" s="134"/>
    </row>
    <row r="71" spans="1:8" ht="15.75" x14ac:dyDescent="0.25">
      <c r="A71" s="176" t="s">
        <v>223</v>
      </c>
      <c r="B71" s="158"/>
      <c r="C71" s="158"/>
      <c r="D71" s="158"/>
      <c r="E71" s="158"/>
      <c r="F71" s="158"/>
      <c r="G71" s="120"/>
      <c r="H71" s="134"/>
    </row>
    <row r="72" spans="1:8" ht="16.5" thickBot="1" x14ac:dyDescent="0.3">
      <c r="A72" s="177" t="s">
        <v>224</v>
      </c>
      <c r="B72" s="178"/>
      <c r="C72" s="178"/>
      <c r="D72" s="178"/>
      <c r="E72" s="178"/>
      <c r="F72" s="178"/>
      <c r="G72" s="172"/>
      <c r="H72" s="179"/>
    </row>
    <row r="73" spans="1:8" ht="15.75" x14ac:dyDescent="0.25">
      <c r="A73" s="149"/>
    </row>
    <row r="74" spans="1:8" ht="15.75" x14ac:dyDescent="0.25">
      <c r="A74" s="149"/>
    </row>
  </sheetData>
  <conditionalFormatting sqref="I1:I65536">
    <cfRule type="cellIs" dxfId="0" priority="1" stopIfTrue="1" operator="equal">
      <formula>"O"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5"/>
  <sheetViews>
    <sheetView workbookViewId="0">
      <selection activeCell="K23" sqref="K23"/>
    </sheetView>
  </sheetViews>
  <sheetFormatPr defaultRowHeight="12.75" x14ac:dyDescent="0.2"/>
  <cols>
    <col min="1" max="1" width="14.5703125" style="11" customWidth="1"/>
    <col min="2" max="2" width="39.28515625" style="11" customWidth="1"/>
    <col min="3" max="3" width="12.7109375" style="12" customWidth="1"/>
    <col min="4" max="5" width="14.85546875" style="12" customWidth="1"/>
    <col min="6" max="6" width="11.140625" style="12" customWidth="1"/>
    <col min="7" max="7" width="12.7109375" style="12" customWidth="1"/>
    <col min="8" max="8" width="9.42578125" style="13" customWidth="1"/>
    <col min="9" max="256" width="9.140625" style="11"/>
    <col min="257" max="257" width="14.5703125" style="11" customWidth="1"/>
    <col min="258" max="258" width="39.28515625" style="11" customWidth="1"/>
    <col min="259" max="259" width="12.7109375" style="11" customWidth="1"/>
    <col min="260" max="261" width="14.85546875" style="11" customWidth="1"/>
    <col min="262" max="262" width="11.140625" style="11" customWidth="1"/>
    <col min="263" max="263" width="12.7109375" style="11" customWidth="1"/>
    <col min="264" max="264" width="9.42578125" style="11" customWidth="1"/>
    <col min="265" max="512" width="9.140625" style="11"/>
    <col min="513" max="513" width="14.5703125" style="11" customWidth="1"/>
    <col min="514" max="514" width="39.28515625" style="11" customWidth="1"/>
    <col min="515" max="515" width="12.7109375" style="11" customWidth="1"/>
    <col min="516" max="517" width="14.85546875" style="11" customWidth="1"/>
    <col min="518" max="518" width="11.140625" style="11" customWidth="1"/>
    <col min="519" max="519" width="12.7109375" style="11" customWidth="1"/>
    <col min="520" max="520" width="9.42578125" style="11" customWidth="1"/>
    <col min="521" max="768" width="9.140625" style="11"/>
    <col min="769" max="769" width="14.5703125" style="11" customWidth="1"/>
    <col min="770" max="770" width="39.28515625" style="11" customWidth="1"/>
    <col min="771" max="771" width="12.7109375" style="11" customWidth="1"/>
    <col min="772" max="773" width="14.85546875" style="11" customWidth="1"/>
    <col min="774" max="774" width="11.140625" style="11" customWidth="1"/>
    <col min="775" max="775" width="12.7109375" style="11" customWidth="1"/>
    <col min="776" max="776" width="9.42578125" style="11" customWidth="1"/>
    <col min="777" max="1024" width="9.140625" style="11"/>
    <col min="1025" max="1025" width="14.5703125" style="11" customWidth="1"/>
    <col min="1026" max="1026" width="39.28515625" style="11" customWidth="1"/>
    <col min="1027" max="1027" width="12.7109375" style="11" customWidth="1"/>
    <col min="1028" max="1029" width="14.85546875" style="11" customWidth="1"/>
    <col min="1030" max="1030" width="11.140625" style="11" customWidth="1"/>
    <col min="1031" max="1031" width="12.7109375" style="11" customWidth="1"/>
    <col min="1032" max="1032" width="9.42578125" style="11" customWidth="1"/>
    <col min="1033" max="1280" width="9.140625" style="11"/>
    <col min="1281" max="1281" width="14.5703125" style="11" customWidth="1"/>
    <col min="1282" max="1282" width="39.28515625" style="11" customWidth="1"/>
    <col min="1283" max="1283" width="12.7109375" style="11" customWidth="1"/>
    <col min="1284" max="1285" width="14.85546875" style="11" customWidth="1"/>
    <col min="1286" max="1286" width="11.140625" style="11" customWidth="1"/>
    <col min="1287" max="1287" width="12.7109375" style="11" customWidth="1"/>
    <col min="1288" max="1288" width="9.42578125" style="11" customWidth="1"/>
    <col min="1289" max="1536" width="9.140625" style="11"/>
    <col min="1537" max="1537" width="14.5703125" style="11" customWidth="1"/>
    <col min="1538" max="1538" width="39.28515625" style="11" customWidth="1"/>
    <col min="1539" max="1539" width="12.7109375" style="11" customWidth="1"/>
    <col min="1540" max="1541" width="14.85546875" style="11" customWidth="1"/>
    <col min="1542" max="1542" width="11.140625" style="11" customWidth="1"/>
    <col min="1543" max="1543" width="12.7109375" style="11" customWidth="1"/>
    <col min="1544" max="1544" width="9.42578125" style="11" customWidth="1"/>
    <col min="1545" max="1792" width="9.140625" style="11"/>
    <col min="1793" max="1793" width="14.5703125" style="11" customWidth="1"/>
    <col min="1794" max="1794" width="39.28515625" style="11" customWidth="1"/>
    <col min="1795" max="1795" width="12.7109375" style="11" customWidth="1"/>
    <col min="1796" max="1797" width="14.85546875" style="11" customWidth="1"/>
    <col min="1798" max="1798" width="11.140625" style="11" customWidth="1"/>
    <col min="1799" max="1799" width="12.7109375" style="11" customWidth="1"/>
    <col min="1800" max="1800" width="9.42578125" style="11" customWidth="1"/>
    <col min="1801" max="2048" width="9.140625" style="11"/>
    <col min="2049" max="2049" width="14.5703125" style="11" customWidth="1"/>
    <col min="2050" max="2050" width="39.28515625" style="11" customWidth="1"/>
    <col min="2051" max="2051" width="12.7109375" style="11" customWidth="1"/>
    <col min="2052" max="2053" width="14.85546875" style="11" customWidth="1"/>
    <col min="2054" max="2054" width="11.140625" style="11" customWidth="1"/>
    <col min="2055" max="2055" width="12.7109375" style="11" customWidth="1"/>
    <col min="2056" max="2056" width="9.42578125" style="11" customWidth="1"/>
    <col min="2057" max="2304" width="9.140625" style="11"/>
    <col min="2305" max="2305" width="14.5703125" style="11" customWidth="1"/>
    <col min="2306" max="2306" width="39.28515625" style="11" customWidth="1"/>
    <col min="2307" max="2307" width="12.7109375" style="11" customWidth="1"/>
    <col min="2308" max="2309" width="14.85546875" style="11" customWidth="1"/>
    <col min="2310" max="2310" width="11.140625" style="11" customWidth="1"/>
    <col min="2311" max="2311" width="12.7109375" style="11" customWidth="1"/>
    <col min="2312" max="2312" width="9.42578125" style="11" customWidth="1"/>
    <col min="2313" max="2560" width="9.140625" style="11"/>
    <col min="2561" max="2561" width="14.5703125" style="11" customWidth="1"/>
    <col min="2562" max="2562" width="39.28515625" style="11" customWidth="1"/>
    <col min="2563" max="2563" width="12.7109375" style="11" customWidth="1"/>
    <col min="2564" max="2565" width="14.85546875" style="11" customWidth="1"/>
    <col min="2566" max="2566" width="11.140625" style="11" customWidth="1"/>
    <col min="2567" max="2567" width="12.7109375" style="11" customWidth="1"/>
    <col min="2568" max="2568" width="9.42578125" style="11" customWidth="1"/>
    <col min="2569" max="2816" width="9.140625" style="11"/>
    <col min="2817" max="2817" width="14.5703125" style="11" customWidth="1"/>
    <col min="2818" max="2818" width="39.28515625" style="11" customWidth="1"/>
    <col min="2819" max="2819" width="12.7109375" style="11" customWidth="1"/>
    <col min="2820" max="2821" width="14.85546875" style="11" customWidth="1"/>
    <col min="2822" max="2822" width="11.140625" style="11" customWidth="1"/>
    <col min="2823" max="2823" width="12.7109375" style="11" customWidth="1"/>
    <col min="2824" max="2824" width="9.42578125" style="11" customWidth="1"/>
    <col min="2825" max="3072" width="9.140625" style="11"/>
    <col min="3073" max="3073" width="14.5703125" style="11" customWidth="1"/>
    <col min="3074" max="3074" width="39.28515625" style="11" customWidth="1"/>
    <col min="3075" max="3075" width="12.7109375" style="11" customWidth="1"/>
    <col min="3076" max="3077" width="14.85546875" style="11" customWidth="1"/>
    <col min="3078" max="3078" width="11.140625" style="11" customWidth="1"/>
    <col min="3079" max="3079" width="12.7109375" style="11" customWidth="1"/>
    <col min="3080" max="3080" width="9.42578125" style="11" customWidth="1"/>
    <col min="3081" max="3328" width="9.140625" style="11"/>
    <col min="3329" max="3329" width="14.5703125" style="11" customWidth="1"/>
    <col min="3330" max="3330" width="39.28515625" style="11" customWidth="1"/>
    <col min="3331" max="3331" width="12.7109375" style="11" customWidth="1"/>
    <col min="3332" max="3333" width="14.85546875" style="11" customWidth="1"/>
    <col min="3334" max="3334" width="11.140625" style="11" customWidth="1"/>
    <col min="3335" max="3335" width="12.7109375" style="11" customWidth="1"/>
    <col min="3336" max="3336" width="9.42578125" style="11" customWidth="1"/>
    <col min="3337" max="3584" width="9.140625" style="11"/>
    <col min="3585" max="3585" width="14.5703125" style="11" customWidth="1"/>
    <col min="3586" max="3586" width="39.28515625" style="11" customWidth="1"/>
    <col min="3587" max="3587" width="12.7109375" style="11" customWidth="1"/>
    <col min="3588" max="3589" width="14.85546875" style="11" customWidth="1"/>
    <col min="3590" max="3590" width="11.140625" style="11" customWidth="1"/>
    <col min="3591" max="3591" width="12.7109375" style="11" customWidth="1"/>
    <col min="3592" max="3592" width="9.42578125" style="11" customWidth="1"/>
    <col min="3593" max="3840" width="9.140625" style="11"/>
    <col min="3841" max="3841" width="14.5703125" style="11" customWidth="1"/>
    <col min="3842" max="3842" width="39.28515625" style="11" customWidth="1"/>
    <col min="3843" max="3843" width="12.7109375" style="11" customWidth="1"/>
    <col min="3844" max="3845" width="14.85546875" style="11" customWidth="1"/>
    <col min="3846" max="3846" width="11.140625" style="11" customWidth="1"/>
    <col min="3847" max="3847" width="12.7109375" style="11" customWidth="1"/>
    <col min="3848" max="3848" width="9.42578125" style="11" customWidth="1"/>
    <col min="3849" max="4096" width="9.140625" style="11"/>
    <col min="4097" max="4097" width="14.5703125" style="11" customWidth="1"/>
    <col min="4098" max="4098" width="39.28515625" style="11" customWidth="1"/>
    <col min="4099" max="4099" width="12.7109375" style="11" customWidth="1"/>
    <col min="4100" max="4101" width="14.85546875" style="11" customWidth="1"/>
    <col min="4102" max="4102" width="11.140625" style="11" customWidth="1"/>
    <col min="4103" max="4103" width="12.7109375" style="11" customWidth="1"/>
    <col min="4104" max="4104" width="9.42578125" style="11" customWidth="1"/>
    <col min="4105" max="4352" width="9.140625" style="11"/>
    <col min="4353" max="4353" width="14.5703125" style="11" customWidth="1"/>
    <col min="4354" max="4354" width="39.28515625" style="11" customWidth="1"/>
    <col min="4355" max="4355" width="12.7109375" style="11" customWidth="1"/>
    <col min="4356" max="4357" width="14.85546875" style="11" customWidth="1"/>
    <col min="4358" max="4358" width="11.140625" style="11" customWidth="1"/>
    <col min="4359" max="4359" width="12.7109375" style="11" customWidth="1"/>
    <col min="4360" max="4360" width="9.42578125" style="11" customWidth="1"/>
    <col min="4361" max="4608" width="9.140625" style="11"/>
    <col min="4609" max="4609" width="14.5703125" style="11" customWidth="1"/>
    <col min="4610" max="4610" width="39.28515625" style="11" customWidth="1"/>
    <col min="4611" max="4611" width="12.7109375" style="11" customWidth="1"/>
    <col min="4612" max="4613" width="14.85546875" style="11" customWidth="1"/>
    <col min="4614" max="4614" width="11.140625" style="11" customWidth="1"/>
    <col min="4615" max="4615" width="12.7109375" style="11" customWidth="1"/>
    <col min="4616" max="4616" width="9.42578125" style="11" customWidth="1"/>
    <col min="4617" max="4864" width="9.140625" style="11"/>
    <col min="4865" max="4865" width="14.5703125" style="11" customWidth="1"/>
    <col min="4866" max="4866" width="39.28515625" style="11" customWidth="1"/>
    <col min="4867" max="4867" width="12.7109375" style="11" customWidth="1"/>
    <col min="4868" max="4869" width="14.85546875" style="11" customWidth="1"/>
    <col min="4870" max="4870" width="11.140625" style="11" customWidth="1"/>
    <col min="4871" max="4871" width="12.7109375" style="11" customWidth="1"/>
    <col min="4872" max="4872" width="9.42578125" style="11" customWidth="1"/>
    <col min="4873" max="5120" width="9.140625" style="11"/>
    <col min="5121" max="5121" width="14.5703125" style="11" customWidth="1"/>
    <col min="5122" max="5122" width="39.28515625" style="11" customWidth="1"/>
    <col min="5123" max="5123" width="12.7109375" style="11" customWidth="1"/>
    <col min="5124" max="5125" width="14.85546875" style="11" customWidth="1"/>
    <col min="5126" max="5126" width="11.140625" style="11" customWidth="1"/>
    <col min="5127" max="5127" width="12.7109375" style="11" customWidth="1"/>
    <col min="5128" max="5128" width="9.42578125" style="11" customWidth="1"/>
    <col min="5129" max="5376" width="9.140625" style="11"/>
    <col min="5377" max="5377" width="14.5703125" style="11" customWidth="1"/>
    <col min="5378" max="5378" width="39.28515625" style="11" customWidth="1"/>
    <col min="5379" max="5379" width="12.7109375" style="11" customWidth="1"/>
    <col min="5380" max="5381" width="14.85546875" style="11" customWidth="1"/>
    <col min="5382" max="5382" width="11.140625" style="11" customWidth="1"/>
    <col min="5383" max="5383" width="12.7109375" style="11" customWidth="1"/>
    <col min="5384" max="5384" width="9.42578125" style="11" customWidth="1"/>
    <col min="5385" max="5632" width="9.140625" style="11"/>
    <col min="5633" max="5633" width="14.5703125" style="11" customWidth="1"/>
    <col min="5634" max="5634" width="39.28515625" style="11" customWidth="1"/>
    <col min="5635" max="5635" width="12.7109375" style="11" customWidth="1"/>
    <col min="5636" max="5637" width="14.85546875" style="11" customWidth="1"/>
    <col min="5638" max="5638" width="11.140625" style="11" customWidth="1"/>
    <col min="5639" max="5639" width="12.7109375" style="11" customWidth="1"/>
    <col min="5640" max="5640" width="9.42578125" style="11" customWidth="1"/>
    <col min="5641" max="5888" width="9.140625" style="11"/>
    <col min="5889" max="5889" width="14.5703125" style="11" customWidth="1"/>
    <col min="5890" max="5890" width="39.28515625" style="11" customWidth="1"/>
    <col min="5891" max="5891" width="12.7109375" style="11" customWidth="1"/>
    <col min="5892" max="5893" width="14.85546875" style="11" customWidth="1"/>
    <col min="5894" max="5894" width="11.140625" style="11" customWidth="1"/>
    <col min="5895" max="5895" width="12.7109375" style="11" customWidth="1"/>
    <col min="5896" max="5896" width="9.42578125" style="11" customWidth="1"/>
    <col min="5897" max="6144" width="9.140625" style="11"/>
    <col min="6145" max="6145" width="14.5703125" style="11" customWidth="1"/>
    <col min="6146" max="6146" width="39.28515625" style="11" customWidth="1"/>
    <col min="6147" max="6147" width="12.7109375" style="11" customWidth="1"/>
    <col min="6148" max="6149" width="14.85546875" style="11" customWidth="1"/>
    <col min="6150" max="6150" width="11.140625" style="11" customWidth="1"/>
    <col min="6151" max="6151" width="12.7109375" style="11" customWidth="1"/>
    <col min="6152" max="6152" width="9.42578125" style="11" customWidth="1"/>
    <col min="6153" max="6400" width="9.140625" style="11"/>
    <col min="6401" max="6401" width="14.5703125" style="11" customWidth="1"/>
    <col min="6402" max="6402" width="39.28515625" style="11" customWidth="1"/>
    <col min="6403" max="6403" width="12.7109375" style="11" customWidth="1"/>
    <col min="6404" max="6405" width="14.85546875" style="11" customWidth="1"/>
    <col min="6406" max="6406" width="11.140625" style="11" customWidth="1"/>
    <col min="6407" max="6407" width="12.7109375" style="11" customWidth="1"/>
    <col min="6408" max="6408" width="9.42578125" style="11" customWidth="1"/>
    <col min="6409" max="6656" width="9.140625" style="11"/>
    <col min="6657" max="6657" width="14.5703125" style="11" customWidth="1"/>
    <col min="6658" max="6658" width="39.28515625" style="11" customWidth="1"/>
    <col min="6659" max="6659" width="12.7109375" style="11" customWidth="1"/>
    <col min="6660" max="6661" width="14.85546875" style="11" customWidth="1"/>
    <col min="6662" max="6662" width="11.140625" style="11" customWidth="1"/>
    <col min="6663" max="6663" width="12.7109375" style="11" customWidth="1"/>
    <col min="6664" max="6664" width="9.42578125" style="11" customWidth="1"/>
    <col min="6665" max="6912" width="9.140625" style="11"/>
    <col min="6913" max="6913" width="14.5703125" style="11" customWidth="1"/>
    <col min="6914" max="6914" width="39.28515625" style="11" customWidth="1"/>
    <col min="6915" max="6915" width="12.7109375" style="11" customWidth="1"/>
    <col min="6916" max="6917" width="14.85546875" style="11" customWidth="1"/>
    <col min="6918" max="6918" width="11.140625" style="11" customWidth="1"/>
    <col min="6919" max="6919" width="12.7109375" style="11" customWidth="1"/>
    <col min="6920" max="6920" width="9.42578125" style="11" customWidth="1"/>
    <col min="6921" max="7168" width="9.140625" style="11"/>
    <col min="7169" max="7169" width="14.5703125" style="11" customWidth="1"/>
    <col min="7170" max="7170" width="39.28515625" style="11" customWidth="1"/>
    <col min="7171" max="7171" width="12.7109375" style="11" customWidth="1"/>
    <col min="7172" max="7173" width="14.85546875" style="11" customWidth="1"/>
    <col min="7174" max="7174" width="11.140625" style="11" customWidth="1"/>
    <col min="7175" max="7175" width="12.7109375" style="11" customWidth="1"/>
    <col min="7176" max="7176" width="9.42578125" style="11" customWidth="1"/>
    <col min="7177" max="7424" width="9.140625" style="11"/>
    <col min="7425" max="7425" width="14.5703125" style="11" customWidth="1"/>
    <col min="7426" max="7426" width="39.28515625" style="11" customWidth="1"/>
    <col min="7427" max="7427" width="12.7109375" style="11" customWidth="1"/>
    <col min="7428" max="7429" width="14.85546875" style="11" customWidth="1"/>
    <col min="7430" max="7430" width="11.140625" style="11" customWidth="1"/>
    <col min="7431" max="7431" width="12.7109375" style="11" customWidth="1"/>
    <col min="7432" max="7432" width="9.42578125" style="11" customWidth="1"/>
    <col min="7433" max="7680" width="9.140625" style="11"/>
    <col min="7681" max="7681" width="14.5703125" style="11" customWidth="1"/>
    <col min="7682" max="7682" width="39.28515625" style="11" customWidth="1"/>
    <col min="7683" max="7683" width="12.7109375" style="11" customWidth="1"/>
    <col min="7684" max="7685" width="14.85546875" style="11" customWidth="1"/>
    <col min="7686" max="7686" width="11.140625" style="11" customWidth="1"/>
    <col min="7687" max="7687" width="12.7109375" style="11" customWidth="1"/>
    <col min="7688" max="7688" width="9.42578125" style="11" customWidth="1"/>
    <col min="7689" max="7936" width="9.140625" style="11"/>
    <col min="7937" max="7937" width="14.5703125" style="11" customWidth="1"/>
    <col min="7938" max="7938" width="39.28515625" style="11" customWidth="1"/>
    <col min="7939" max="7939" width="12.7109375" style="11" customWidth="1"/>
    <col min="7940" max="7941" width="14.85546875" style="11" customWidth="1"/>
    <col min="7942" max="7942" width="11.140625" style="11" customWidth="1"/>
    <col min="7943" max="7943" width="12.7109375" style="11" customWidth="1"/>
    <col min="7944" max="7944" width="9.42578125" style="11" customWidth="1"/>
    <col min="7945" max="8192" width="9.140625" style="11"/>
    <col min="8193" max="8193" width="14.5703125" style="11" customWidth="1"/>
    <col min="8194" max="8194" width="39.28515625" style="11" customWidth="1"/>
    <col min="8195" max="8195" width="12.7109375" style="11" customWidth="1"/>
    <col min="8196" max="8197" width="14.85546875" style="11" customWidth="1"/>
    <col min="8198" max="8198" width="11.140625" style="11" customWidth="1"/>
    <col min="8199" max="8199" width="12.7109375" style="11" customWidth="1"/>
    <col min="8200" max="8200" width="9.42578125" style="11" customWidth="1"/>
    <col min="8201" max="8448" width="9.140625" style="11"/>
    <col min="8449" max="8449" width="14.5703125" style="11" customWidth="1"/>
    <col min="8450" max="8450" width="39.28515625" style="11" customWidth="1"/>
    <col min="8451" max="8451" width="12.7109375" style="11" customWidth="1"/>
    <col min="8452" max="8453" width="14.85546875" style="11" customWidth="1"/>
    <col min="8454" max="8454" width="11.140625" style="11" customWidth="1"/>
    <col min="8455" max="8455" width="12.7109375" style="11" customWidth="1"/>
    <col min="8456" max="8456" width="9.42578125" style="11" customWidth="1"/>
    <col min="8457" max="8704" width="9.140625" style="11"/>
    <col min="8705" max="8705" width="14.5703125" style="11" customWidth="1"/>
    <col min="8706" max="8706" width="39.28515625" style="11" customWidth="1"/>
    <col min="8707" max="8707" width="12.7109375" style="11" customWidth="1"/>
    <col min="8708" max="8709" width="14.85546875" style="11" customWidth="1"/>
    <col min="8710" max="8710" width="11.140625" style="11" customWidth="1"/>
    <col min="8711" max="8711" width="12.7109375" style="11" customWidth="1"/>
    <col min="8712" max="8712" width="9.42578125" style="11" customWidth="1"/>
    <col min="8713" max="8960" width="9.140625" style="11"/>
    <col min="8961" max="8961" width="14.5703125" style="11" customWidth="1"/>
    <col min="8962" max="8962" width="39.28515625" style="11" customWidth="1"/>
    <col min="8963" max="8963" width="12.7109375" style="11" customWidth="1"/>
    <col min="8964" max="8965" width="14.85546875" style="11" customWidth="1"/>
    <col min="8966" max="8966" width="11.140625" style="11" customWidth="1"/>
    <col min="8967" max="8967" width="12.7109375" style="11" customWidth="1"/>
    <col min="8968" max="8968" width="9.42578125" style="11" customWidth="1"/>
    <col min="8969" max="9216" width="9.140625" style="11"/>
    <col min="9217" max="9217" width="14.5703125" style="11" customWidth="1"/>
    <col min="9218" max="9218" width="39.28515625" style="11" customWidth="1"/>
    <col min="9219" max="9219" width="12.7109375" style="11" customWidth="1"/>
    <col min="9220" max="9221" width="14.85546875" style="11" customWidth="1"/>
    <col min="9222" max="9222" width="11.140625" style="11" customWidth="1"/>
    <col min="9223" max="9223" width="12.7109375" style="11" customWidth="1"/>
    <col min="9224" max="9224" width="9.42578125" style="11" customWidth="1"/>
    <col min="9225" max="9472" width="9.140625" style="11"/>
    <col min="9473" max="9473" width="14.5703125" style="11" customWidth="1"/>
    <col min="9474" max="9474" width="39.28515625" style="11" customWidth="1"/>
    <col min="9475" max="9475" width="12.7109375" style="11" customWidth="1"/>
    <col min="9476" max="9477" width="14.85546875" style="11" customWidth="1"/>
    <col min="9478" max="9478" width="11.140625" style="11" customWidth="1"/>
    <col min="9479" max="9479" width="12.7109375" style="11" customWidth="1"/>
    <col min="9480" max="9480" width="9.42578125" style="11" customWidth="1"/>
    <col min="9481" max="9728" width="9.140625" style="11"/>
    <col min="9729" max="9729" width="14.5703125" style="11" customWidth="1"/>
    <col min="9730" max="9730" width="39.28515625" style="11" customWidth="1"/>
    <col min="9731" max="9731" width="12.7109375" style="11" customWidth="1"/>
    <col min="9732" max="9733" width="14.85546875" style="11" customWidth="1"/>
    <col min="9734" max="9734" width="11.140625" style="11" customWidth="1"/>
    <col min="9735" max="9735" width="12.7109375" style="11" customWidth="1"/>
    <col min="9736" max="9736" width="9.42578125" style="11" customWidth="1"/>
    <col min="9737" max="9984" width="9.140625" style="11"/>
    <col min="9985" max="9985" width="14.5703125" style="11" customWidth="1"/>
    <col min="9986" max="9986" width="39.28515625" style="11" customWidth="1"/>
    <col min="9987" max="9987" width="12.7109375" style="11" customWidth="1"/>
    <col min="9988" max="9989" width="14.85546875" style="11" customWidth="1"/>
    <col min="9990" max="9990" width="11.140625" style="11" customWidth="1"/>
    <col min="9991" max="9991" width="12.7109375" style="11" customWidth="1"/>
    <col min="9992" max="9992" width="9.42578125" style="11" customWidth="1"/>
    <col min="9993" max="10240" width="9.140625" style="11"/>
    <col min="10241" max="10241" width="14.5703125" style="11" customWidth="1"/>
    <col min="10242" max="10242" width="39.28515625" style="11" customWidth="1"/>
    <col min="10243" max="10243" width="12.7109375" style="11" customWidth="1"/>
    <col min="10244" max="10245" width="14.85546875" style="11" customWidth="1"/>
    <col min="10246" max="10246" width="11.140625" style="11" customWidth="1"/>
    <col min="10247" max="10247" width="12.7109375" style="11" customWidth="1"/>
    <col min="10248" max="10248" width="9.42578125" style="11" customWidth="1"/>
    <col min="10249" max="10496" width="9.140625" style="11"/>
    <col min="10497" max="10497" width="14.5703125" style="11" customWidth="1"/>
    <col min="10498" max="10498" width="39.28515625" style="11" customWidth="1"/>
    <col min="10499" max="10499" width="12.7109375" style="11" customWidth="1"/>
    <col min="10500" max="10501" width="14.85546875" style="11" customWidth="1"/>
    <col min="10502" max="10502" width="11.140625" style="11" customWidth="1"/>
    <col min="10503" max="10503" width="12.7109375" style="11" customWidth="1"/>
    <col min="10504" max="10504" width="9.42578125" style="11" customWidth="1"/>
    <col min="10505" max="10752" width="9.140625" style="11"/>
    <col min="10753" max="10753" width="14.5703125" style="11" customWidth="1"/>
    <col min="10754" max="10754" width="39.28515625" style="11" customWidth="1"/>
    <col min="10755" max="10755" width="12.7109375" style="11" customWidth="1"/>
    <col min="10756" max="10757" width="14.85546875" style="11" customWidth="1"/>
    <col min="10758" max="10758" width="11.140625" style="11" customWidth="1"/>
    <col min="10759" max="10759" width="12.7109375" style="11" customWidth="1"/>
    <col min="10760" max="10760" width="9.42578125" style="11" customWidth="1"/>
    <col min="10761" max="11008" width="9.140625" style="11"/>
    <col min="11009" max="11009" width="14.5703125" style="11" customWidth="1"/>
    <col min="11010" max="11010" width="39.28515625" style="11" customWidth="1"/>
    <col min="11011" max="11011" width="12.7109375" style="11" customWidth="1"/>
    <col min="11012" max="11013" width="14.85546875" style="11" customWidth="1"/>
    <col min="11014" max="11014" width="11.140625" style="11" customWidth="1"/>
    <col min="11015" max="11015" width="12.7109375" style="11" customWidth="1"/>
    <col min="11016" max="11016" width="9.42578125" style="11" customWidth="1"/>
    <col min="11017" max="11264" width="9.140625" style="11"/>
    <col min="11265" max="11265" width="14.5703125" style="11" customWidth="1"/>
    <col min="11266" max="11266" width="39.28515625" style="11" customWidth="1"/>
    <col min="11267" max="11267" width="12.7109375" style="11" customWidth="1"/>
    <col min="11268" max="11269" width="14.85546875" style="11" customWidth="1"/>
    <col min="11270" max="11270" width="11.140625" style="11" customWidth="1"/>
    <col min="11271" max="11271" width="12.7109375" style="11" customWidth="1"/>
    <col min="11272" max="11272" width="9.42578125" style="11" customWidth="1"/>
    <col min="11273" max="11520" width="9.140625" style="11"/>
    <col min="11521" max="11521" width="14.5703125" style="11" customWidth="1"/>
    <col min="11522" max="11522" width="39.28515625" style="11" customWidth="1"/>
    <col min="11523" max="11523" width="12.7109375" style="11" customWidth="1"/>
    <col min="11524" max="11525" width="14.85546875" style="11" customWidth="1"/>
    <col min="11526" max="11526" width="11.140625" style="11" customWidth="1"/>
    <col min="11527" max="11527" width="12.7109375" style="11" customWidth="1"/>
    <col min="11528" max="11528" width="9.42578125" style="11" customWidth="1"/>
    <col min="11529" max="11776" width="9.140625" style="11"/>
    <col min="11777" max="11777" width="14.5703125" style="11" customWidth="1"/>
    <col min="11778" max="11778" width="39.28515625" style="11" customWidth="1"/>
    <col min="11779" max="11779" width="12.7109375" style="11" customWidth="1"/>
    <col min="11780" max="11781" width="14.85546875" style="11" customWidth="1"/>
    <col min="11782" max="11782" width="11.140625" style="11" customWidth="1"/>
    <col min="11783" max="11783" width="12.7109375" style="11" customWidth="1"/>
    <col min="11784" max="11784" width="9.42578125" style="11" customWidth="1"/>
    <col min="11785" max="12032" width="9.140625" style="11"/>
    <col min="12033" max="12033" width="14.5703125" style="11" customWidth="1"/>
    <col min="12034" max="12034" width="39.28515625" style="11" customWidth="1"/>
    <col min="12035" max="12035" width="12.7109375" style="11" customWidth="1"/>
    <col min="12036" max="12037" width="14.85546875" style="11" customWidth="1"/>
    <col min="12038" max="12038" width="11.140625" style="11" customWidth="1"/>
    <col min="12039" max="12039" width="12.7109375" style="11" customWidth="1"/>
    <col min="12040" max="12040" width="9.42578125" style="11" customWidth="1"/>
    <col min="12041" max="12288" width="9.140625" style="11"/>
    <col min="12289" max="12289" width="14.5703125" style="11" customWidth="1"/>
    <col min="12290" max="12290" width="39.28515625" style="11" customWidth="1"/>
    <col min="12291" max="12291" width="12.7109375" style="11" customWidth="1"/>
    <col min="12292" max="12293" width="14.85546875" style="11" customWidth="1"/>
    <col min="12294" max="12294" width="11.140625" style="11" customWidth="1"/>
    <col min="12295" max="12295" width="12.7109375" style="11" customWidth="1"/>
    <col min="12296" max="12296" width="9.42578125" style="11" customWidth="1"/>
    <col min="12297" max="12544" width="9.140625" style="11"/>
    <col min="12545" max="12545" width="14.5703125" style="11" customWidth="1"/>
    <col min="12546" max="12546" width="39.28515625" style="11" customWidth="1"/>
    <col min="12547" max="12547" width="12.7109375" style="11" customWidth="1"/>
    <col min="12548" max="12549" width="14.85546875" style="11" customWidth="1"/>
    <col min="12550" max="12550" width="11.140625" style="11" customWidth="1"/>
    <col min="12551" max="12551" width="12.7109375" style="11" customWidth="1"/>
    <col min="12552" max="12552" width="9.42578125" style="11" customWidth="1"/>
    <col min="12553" max="12800" width="9.140625" style="11"/>
    <col min="12801" max="12801" width="14.5703125" style="11" customWidth="1"/>
    <col min="12802" max="12802" width="39.28515625" style="11" customWidth="1"/>
    <col min="12803" max="12803" width="12.7109375" style="11" customWidth="1"/>
    <col min="12804" max="12805" width="14.85546875" style="11" customWidth="1"/>
    <col min="12806" max="12806" width="11.140625" style="11" customWidth="1"/>
    <col min="12807" max="12807" width="12.7109375" style="11" customWidth="1"/>
    <col min="12808" max="12808" width="9.42578125" style="11" customWidth="1"/>
    <col min="12809" max="13056" width="9.140625" style="11"/>
    <col min="13057" max="13057" width="14.5703125" style="11" customWidth="1"/>
    <col min="13058" max="13058" width="39.28515625" style="11" customWidth="1"/>
    <col min="13059" max="13059" width="12.7109375" style="11" customWidth="1"/>
    <col min="13060" max="13061" width="14.85546875" style="11" customWidth="1"/>
    <col min="13062" max="13062" width="11.140625" style="11" customWidth="1"/>
    <col min="13063" max="13063" width="12.7109375" style="11" customWidth="1"/>
    <col min="13064" max="13064" width="9.42578125" style="11" customWidth="1"/>
    <col min="13065" max="13312" width="9.140625" style="11"/>
    <col min="13313" max="13313" width="14.5703125" style="11" customWidth="1"/>
    <col min="13314" max="13314" width="39.28515625" style="11" customWidth="1"/>
    <col min="13315" max="13315" width="12.7109375" style="11" customWidth="1"/>
    <col min="13316" max="13317" width="14.85546875" style="11" customWidth="1"/>
    <col min="13318" max="13318" width="11.140625" style="11" customWidth="1"/>
    <col min="13319" max="13319" width="12.7109375" style="11" customWidth="1"/>
    <col min="13320" max="13320" width="9.42578125" style="11" customWidth="1"/>
    <col min="13321" max="13568" width="9.140625" style="11"/>
    <col min="13569" max="13569" width="14.5703125" style="11" customWidth="1"/>
    <col min="13570" max="13570" width="39.28515625" style="11" customWidth="1"/>
    <col min="13571" max="13571" width="12.7109375" style="11" customWidth="1"/>
    <col min="13572" max="13573" width="14.85546875" style="11" customWidth="1"/>
    <col min="13574" max="13574" width="11.140625" style="11" customWidth="1"/>
    <col min="13575" max="13575" width="12.7109375" style="11" customWidth="1"/>
    <col min="13576" max="13576" width="9.42578125" style="11" customWidth="1"/>
    <col min="13577" max="13824" width="9.140625" style="11"/>
    <col min="13825" max="13825" width="14.5703125" style="11" customWidth="1"/>
    <col min="13826" max="13826" width="39.28515625" style="11" customWidth="1"/>
    <col min="13827" max="13827" width="12.7109375" style="11" customWidth="1"/>
    <col min="13828" max="13829" width="14.85546875" style="11" customWidth="1"/>
    <col min="13830" max="13830" width="11.140625" style="11" customWidth="1"/>
    <col min="13831" max="13831" width="12.7109375" style="11" customWidth="1"/>
    <col min="13832" max="13832" width="9.42578125" style="11" customWidth="1"/>
    <col min="13833" max="14080" width="9.140625" style="11"/>
    <col min="14081" max="14081" width="14.5703125" style="11" customWidth="1"/>
    <col min="14082" max="14082" width="39.28515625" style="11" customWidth="1"/>
    <col min="14083" max="14083" width="12.7109375" style="11" customWidth="1"/>
    <col min="14084" max="14085" width="14.85546875" style="11" customWidth="1"/>
    <col min="14086" max="14086" width="11.140625" style="11" customWidth="1"/>
    <col min="14087" max="14087" width="12.7109375" style="11" customWidth="1"/>
    <col min="14088" max="14088" width="9.42578125" style="11" customWidth="1"/>
    <col min="14089" max="14336" width="9.140625" style="11"/>
    <col min="14337" max="14337" width="14.5703125" style="11" customWidth="1"/>
    <col min="14338" max="14338" width="39.28515625" style="11" customWidth="1"/>
    <col min="14339" max="14339" width="12.7109375" style="11" customWidth="1"/>
    <col min="14340" max="14341" width="14.85546875" style="11" customWidth="1"/>
    <col min="14342" max="14342" width="11.140625" style="11" customWidth="1"/>
    <col min="14343" max="14343" width="12.7109375" style="11" customWidth="1"/>
    <col min="14344" max="14344" width="9.42578125" style="11" customWidth="1"/>
    <col min="14345" max="14592" width="9.140625" style="11"/>
    <col min="14593" max="14593" width="14.5703125" style="11" customWidth="1"/>
    <col min="14594" max="14594" width="39.28515625" style="11" customWidth="1"/>
    <col min="14595" max="14595" width="12.7109375" style="11" customWidth="1"/>
    <col min="14596" max="14597" width="14.85546875" style="11" customWidth="1"/>
    <col min="14598" max="14598" width="11.140625" style="11" customWidth="1"/>
    <col min="14599" max="14599" width="12.7109375" style="11" customWidth="1"/>
    <col min="14600" max="14600" width="9.42578125" style="11" customWidth="1"/>
    <col min="14601" max="14848" width="9.140625" style="11"/>
    <col min="14849" max="14849" width="14.5703125" style="11" customWidth="1"/>
    <col min="14850" max="14850" width="39.28515625" style="11" customWidth="1"/>
    <col min="14851" max="14851" width="12.7109375" style="11" customWidth="1"/>
    <col min="14852" max="14853" width="14.85546875" style="11" customWidth="1"/>
    <col min="14854" max="14854" width="11.140625" style="11" customWidth="1"/>
    <col min="14855" max="14855" width="12.7109375" style="11" customWidth="1"/>
    <col min="14856" max="14856" width="9.42578125" style="11" customWidth="1"/>
    <col min="14857" max="15104" width="9.140625" style="11"/>
    <col min="15105" max="15105" width="14.5703125" style="11" customWidth="1"/>
    <col min="15106" max="15106" width="39.28515625" style="11" customWidth="1"/>
    <col min="15107" max="15107" width="12.7109375" style="11" customWidth="1"/>
    <col min="15108" max="15109" width="14.85546875" style="11" customWidth="1"/>
    <col min="15110" max="15110" width="11.140625" style="11" customWidth="1"/>
    <col min="15111" max="15111" width="12.7109375" style="11" customWidth="1"/>
    <col min="15112" max="15112" width="9.42578125" style="11" customWidth="1"/>
    <col min="15113" max="15360" width="9.140625" style="11"/>
    <col min="15361" max="15361" width="14.5703125" style="11" customWidth="1"/>
    <col min="15362" max="15362" width="39.28515625" style="11" customWidth="1"/>
    <col min="15363" max="15363" width="12.7109375" style="11" customWidth="1"/>
    <col min="15364" max="15365" width="14.85546875" style="11" customWidth="1"/>
    <col min="15366" max="15366" width="11.140625" style="11" customWidth="1"/>
    <col min="15367" max="15367" width="12.7109375" style="11" customWidth="1"/>
    <col min="15368" max="15368" width="9.42578125" style="11" customWidth="1"/>
    <col min="15369" max="15616" width="9.140625" style="11"/>
    <col min="15617" max="15617" width="14.5703125" style="11" customWidth="1"/>
    <col min="15618" max="15618" width="39.28515625" style="11" customWidth="1"/>
    <col min="15619" max="15619" width="12.7109375" style="11" customWidth="1"/>
    <col min="15620" max="15621" width="14.85546875" style="11" customWidth="1"/>
    <col min="15622" max="15622" width="11.140625" style="11" customWidth="1"/>
    <col min="15623" max="15623" width="12.7109375" style="11" customWidth="1"/>
    <col min="15624" max="15624" width="9.42578125" style="11" customWidth="1"/>
    <col min="15625" max="15872" width="9.140625" style="11"/>
    <col min="15873" max="15873" width="14.5703125" style="11" customWidth="1"/>
    <col min="15874" max="15874" width="39.28515625" style="11" customWidth="1"/>
    <col min="15875" max="15875" width="12.7109375" style="11" customWidth="1"/>
    <col min="15876" max="15877" width="14.85546875" style="11" customWidth="1"/>
    <col min="15878" max="15878" width="11.140625" style="11" customWidth="1"/>
    <col min="15879" max="15879" width="12.7109375" style="11" customWidth="1"/>
    <col min="15880" max="15880" width="9.42578125" style="11" customWidth="1"/>
    <col min="15881" max="16128" width="9.140625" style="11"/>
    <col min="16129" max="16129" width="14.5703125" style="11" customWidth="1"/>
    <col min="16130" max="16130" width="39.28515625" style="11" customWidth="1"/>
    <col min="16131" max="16131" width="12.7109375" style="11" customWidth="1"/>
    <col min="16132" max="16133" width="14.85546875" style="11" customWidth="1"/>
    <col min="16134" max="16134" width="11.140625" style="11" customWidth="1"/>
    <col min="16135" max="16135" width="12.7109375" style="11" customWidth="1"/>
    <col min="16136" max="16136" width="9.42578125" style="11" customWidth="1"/>
    <col min="16137" max="16384" width="9.140625" style="11"/>
  </cols>
  <sheetData>
    <row r="1" spans="1:9" s="2" customFormat="1" ht="26.25" x14ac:dyDescent="0.4">
      <c r="A1" s="1" t="s">
        <v>57</v>
      </c>
      <c r="C1" s="3"/>
      <c r="D1" s="3"/>
      <c r="E1" s="3"/>
      <c r="F1" s="4"/>
      <c r="G1" s="4"/>
      <c r="H1" s="5"/>
    </row>
    <row r="2" spans="1:9" s="6" customFormat="1" x14ac:dyDescent="0.2">
      <c r="C2" s="7"/>
      <c r="D2" s="7"/>
      <c r="E2" s="7"/>
      <c r="F2" s="7"/>
      <c r="G2" s="7"/>
      <c r="H2" s="8"/>
    </row>
    <row r="3" spans="1:9" s="9" customFormat="1" ht="15.75" x14ac:dyDescent="0.25">
      <c r="A3" s="102" t="s">
        <v>58</v>
      </c>
      <c r="B3" s="103"/>
      <c r="C3" s="103"/>
      <c r="D3" s="103"/>
      <c r="E3" s="103"/>
      <c r="F3" s="103"/>
      <c r="G3" s="103"/>
      <c r="H3" s="103"/>
    </row>
    <row r="4" spans="1:9" x14ac:dyDescent="0.2">
      <c r="A4" s="10"/>
    </row>
    <row r="5" spans="1:9" ht="38.25" x14ac:dyDescent="0.2">
      <c r="A5" s="104" t="s">
        <v>52</v>
      </c>
      <c r="B5" s="104" t="s">
        <v>0</v>
      </c>
      <c r="C5" s="107" t="s">
        <v>53</v>
      </c>
      <c r="D5" s="107" t="s">
        <v>54</v>
      </c>
      <c r="E5" s="107" t="s">
        <v>59</v>
      </c>
      <c r="F5" s="107" t="s">
        <v>55</v>
      </c>
      <c r="G5" s="14" t="s">
        <v>60</v>
      </c>
      <c r="H5" s="110" t="s">
        <v>61</v>
      </c>
    </row>
    <row r="6" spans="1:9" x14ac:dyDescent="0.2">
      <c r="A6" s="105"/>
      <c r="B6" s="105"/>
      <c r="C6" s="108"/>
      <c r="D6" s="108"/>
      <c r="E6" s="108"/>
      <c r="F6" s="108"/>
      <c r="G6" s="15"/>
      <c r="H6" s="111"/>
    </row>
    <row r="7" spans="1:9" x14ac:dyDescent="0.2">
      <c r="A7" s="106"/>
      <c r="B7" s="106"/>
      <c r="C7" s="109"/>
      <c r="D7" s="109"/>
      <c r="E7" s="109"/>
      <c r="F7" s="109"/>
      <c r="G7" s="16"/>
      <c r="H7" s="112"/>
    </row>
    <row r="8" spans="1:9" ht="13.15" customHeight="1" x14ac:dyDescent="0.25">
      <c r="A8" s="98" t="s">
        <v>62</v>
      </c>
      <c r="B8" s="99"/>
      <c r="C8" s="17"/>
      <c r="D8" s="18"/>
      <c r="E8" s="18"/>
      <c r="F8" s="17"/>
      <c r="G8" s="17"/>
      <c r="H8" s="19"/>
    </row>
    <row r="9" spans="1:9" ht="13.15" customHeight="1" x14ac:dyDescent="0.2">
      <c r="A9" s="20">
        <v>12007</v>
      </c>
      <c r="B9" s="21" t="s">
        <v>63</v>
      </c>
      <c r="C9" s="22">
        <f>(SUMIF('[1]Cost Centre Summary'!A$1:A$65536,$A9,'[1]Cost Centre Summary'!H$1:H$65536))</f>
        <v>-71635</v>
      </c>
      <c r="D9" s="22">
        <f>SUMIF('[1]Cost Centre Summary'!B$1:B$65536,$A9,'[1]Cost Centre Summary'!I$1:I$65536)</f>
        <v>0</v>
      </c>
      <c r="E9" s="23">
        <v>0</v>
      </c>
      <c r="F9" s="22">
        <f>SUMIF('[1]Cost Centre Summary'!A$1:A$65536,$A9,'[1]Cost Centre Summary'!N$1:N$65536)</f>
        <v>-71634.820000000007</v>
      </c>
      <c r="G9" s="24">
        <f>C9-D9-E9-F9</f>
        <v>-0.17999999999301508</v>
      </c>
      <c r="H9" s="25">
        <v>1</v>
      </c>
    </row>
    <row r="10" spans="1:9" ht="13.15" customHeight="1" x14ac:dyDescent="0.2">
      <c r="A10" s="25">
        <v>12001</v>
      </c>
      <c r="B10" s="26" t="s">
        <v>64</v>
      </c>
      <c r="C10" s="22">
        <f>(SUMIF('[1]Cost Centre Summary'!A$1:A$65536,$A10,'[1]Cost Centre Summary'!H$1:H$65536))</f>
        <v>-100</v>
      </c>
      <c r="D10" s="22">
        <f>SUMIF('[1]Cost Centre Summary'!A$1:A$65536,$A10,'[1]Cost Centre Summary'!J$1:J$65536)</f>
        <v>0</v>
      </c>
      <c r="E10" s="23">
        <v>-72</v>
      </c>
      <c r="F10" s="22">
        <f>SUMIF('[1]Cost Centre Summary'!A$1:A$65536,$A10,'[1]Cost Centre Summary'!N$1:N$65536)</f>
        <v>-27.64</v>
      </c>
      <c r="G10" s="24">
        <f t="shared" ref="G10:G17" si="0">C10-D10-E10-F10</f>
        <v>-0.35999999999999943</v>
      </c>
      <c r="H10" s="25"/>
    </row>
    <row r="11" spans="1:9" x14ac:dyDescent="0.2">
      <c r="A11" s="25">
        <v>12006</v>
      </c>
      <c r="B11" s="26" t="s">
        <v>65</v>
      </c>
      <c r="C11" s="23">
        <f>(SUMIF('[1]Cost Centre Summary'!A$1:A$65536,$A11,'[1]Cost Centre Summary'!H$1:H$65536))</f>
        <v>-390635</v>
      </c>
      <c r="D11" s="22">
        <f>SUMIF('[1]Cost Centre Summary'!A$1:A$65536,$A11,'[1]Cost Centre Summary'!J$1:J$65536)</f>
        <v>0</v>
      </c>
      <c r="E11" s="23">
        <f>-172842-12246-1775-7750</f>
        <v>-194613</v>
      </c>
      <c r="F11" s="22">
        <f>SUMIF('[1]Cost Centre Summary'!A$1:A$65536,$A11,'[1]Cost Centre Summary'!N$1:N$65536)</f>
        <v>-196022.43</v>
      </c>
      <c r="G11" s="24">
        <f t="shared" si="0"/>
        <v>0.42999999999301508</v>
      </c>
      <c r="H11" s="25"/>
    </row>
    <row r="12" spans="1:9" x14ac:dyDescent="0.2">
      <c r="A12" s="25">
        <v>21004</v>
      </c>
      <c r="B12" s="26" t="s">
        <v>66</v>
      </c>
      <c r="C12" s="23">
        <f>(SUMIF('[1]Cost Centre Summary'!A$1:A$65536,$A12,'[1]Cost Centre Summary'!H$1:H$65536))</f>
        <v>-16821</v>
      </c>
      <c r="D12" s="22">
        <f>SUMIF('[1]Cost Centre Summary'!A$1:A$65536,$A12,'[1]Cost Centre Summary'!J$1:J$65536)</f>
        <v>0</v>
      </c>
      <c r="E12" s="23">
        <v>-9800</v>
      </c>
      <c r="F12" s="22">
        <f>SUMIF('[1]Cost Centre Summary'!A$1:A$65536,$A12,'[1]Cost Centre Summary'!N$1:N$65536)</f>
        <v>-7021</v>
      </c>
      <c r="G12" s="24">
        <f t="shared" si="0"/>
        <v>0</v>
      </c>
      <c r="H12" s="25"/>
    </row>
    <row r="13" spans="1:9" x14ac:dyDescent="0.2">
      <c r="A13" s="25">
        <v>21008</v>
      </c>
      <c r="B13" s="26" t="s">
        <v>67</v>
      </c>
      <c r="C13" s="22">
        <f>(SUMIF('[1]Cost Centre Summary'!A$1:A$65536,$A13,'[1]Cost Centre Summary'!H$1:H$65536))</f>
        <v>-4400</v>
      </c>
      <c r="D13" s="22">
        <f>SUMIF('[1]Cost Centre Summary'!A$1:A$65536,$A13,'[1]Cost Centre Summary'!J$1:J$65536)</f>
        <v>0</v>
      </c>
      <c r="E13" s="23">
        <v>0</v>
      </c>
      <c r="F13" s="22">
        <f>SUMIF('[1]Cost Centre Summary'!A$1:A$65536,$A13,'[1]Cost Centre Summary'!N$1:N$65536)</f>
        <v>-4400</v>
      </c>
      <c r="G13" s="24">
        <f t="shared" si="0"/>
        <v>0</v>
      </c>
      <c r="H13" s="25"/>
    </row>
    <row r="14" spans="1:9" x14ac:dyDescent="0.2">
      <c r="A14" s="25">
        <v>21022</v>
      </c>
      <c r="B14" s="26" t="s">
        <v>50</v>
      </c>
      <c r="C14" s="22">
        <f>(SUMIF('[1]Cost Centre Summary'!A$1:A$65536,$A14,'[1]Cost Centre Summary'!H$1:H$65536))</f>
        <v>0</v>
      </c>
      <c r="D14" s="22">
        <f>SUMIF('[1]Cost Centre Summary'!A$1:A$65536,$A14,'[1]Cost Centre Summary'!J$1:J$65536)</f>
        <v>0</v>
      </c>
      <c r="E14" s="23">
        <v>0</v>
      </c>
      <c r="F14" s="22">
        <f>SUMIF('[1]Cost Centre Summary'!A$1:A$65536,$A14,'[1]Cost Centre Summary'!N$1:N$65536)</f>
        <v>0</v>
      </c>
      <c r="G14" s="24">
        <f t="shared" si="0"/>
        <v>0</v>
      </c>
      <c r="H14" s="27"/>
      <c r="I14" s="28"/>
    </row>
    <row r="15" spans="1:9" x14ac:dyDescent="0.2">
      <c r="A15" s="25">
        <v>21023</v>
      </c>
      <c r="B15" s="26" t="s">
        <v>68</v>
      </c>
      <c r="C15" s="23">
        <f>(SUMIF('[1]Cost Centre Summary'!A$1:A$65536,$A15,'[1]Cost Centre Summary'!H$1:H$65536))</f>
        <v>-11000</v>
      </c>
      <c r="D15" s="22">
        <f>SUMIF('[1]Cost Centre Summary'!A$1:A$65536,$A15,'[1]Cost Centre Summary'!J$1:J$65536)</f>
        <v>0</v>
      </c>
      <c r="E15" s="23">
        <v>-2096</v>
      </c>
      <c r="F15" s="22">
        <f>SUMIF('[1]Cost Centre Summary'!A$1:A$65536,$A15,'[1]Cost Centre Summary'!N$1:N$65536)</f>
        <v>-8904</v>
      </c>
      <c r="G15" s="24">
        <f t="shared" si="0"/>
        <v>0</v>
      </c>
      <c r="H15" s="29">
        <v>2</v>
      </c>
      <c r="I15" s="28"/>
    </row>
    <row r="16" spans="1:9" x14ac:dyDescent="0.2">
      <c r="A16" s="25">
        <v>21024</v>
      </c>
      <c r="B16" s="26" t="s">
        <v>51</v>
      </c>
      <c r="C16" s="22">
        <f>(SUMIF('[1]Cost Centre Summary'!A$1:A$65536,$A16,'[1]Cost Centre Summary'!H$1:H$65536))</f>
        <v>-600</v>
      </c>
      <c r="D16" s="22">
        <f>SUMIF('[1]Cost Centre Summary'!A$1:A$65536,$A16,'[1]Cost Centre Summary'!J$1:J$65536)</f>
        <v>0</v>
      </c>
      <c r="E16" s="23">
        <v>-500</v>
      </c>
      <c r="F16" s="22">
        <f>SUMIF('[1]Cost Centre Summary'!A$1:A$65536,$A16,'[1]Cost Centre Summary'!N$1:N$65536)</f>
        <v>-5600</v>
      </c>
      <c r="G16" s="24">
        <f t="shared" si="0"/>
        <v>5500</v>
      </c>
      <c r="H16" s="25">
        <v>3</v>
      </c>
    </row>
    <row r="17" spans="1:8" x14ac:dyDescent="0.2">
      <c r="A17" s="25">
        <v>23001</v>
      </c>
      <c r="B17" s="26" t="s">
        <v>69</v>
      </c>
      <c r="C17" s="23">
        <f>(SUMIF('[1]Cost Centre Summary'!A$1:A$65536,$A17,'[1]Cost Centre Summary'!H$1:H$65536))</f>
        <v>-13818</v>
      </c>
      <c r="D17" s="22">
        <f>SUMIF('[1]Cost Centre Summary'!A$1:A$65536,$A17,'[1]Cost Centre Summary'!J$1:J$65536)</f>
        <v>0</v>
      </c>
      <c r="E17" s="23">
        <f>-4568-3424</f>
        <v>-7992</v>
      </c>
      <c r="F17" s="22">
        <f>SUMIF('[1]Cost Centre Summary'!A$1:A$65536,$A17,'[1]Cost Centre Summary'!N$1:N$65536)</f>
        <v>-5825.6</v>
      </c>
      <c r="G17" s="24">
        <f t="shared" si="0"/>
        <v>-0.3999999999996362</v>
      </c>
      <c r="H17" s="25"/>
    </row>
    <row r="18" spans="1:8" x14ac:dyDescent="0.2">
      <c r="A18" s="25"/>
      <c r="B18" s="26"/>
      <c r="C18" s="23"/>
      <c r="D18" s="22"/>
      <c r="E18" s="23"/>
      <c r="F18" s="22"/>
      <c r="G18" s="22"/>
      <c r="H18" s="25"/>
    </row>
    <row r="19" spans="1:8" x14ac:dyDescent="0.2">
      <c r="A19" s="25"/>
      <c r="B19" s="30" t="s">
        <v>70</v>
      </c>
      <c r="C19" s="31">
        <f t="shared" ref="C19:G19" si="1">SUM(C9:C17)</f>
        <v>-509009</v>
      </c>
      <c r="D19" s="31">
        <f t="shared" si="1"/>
        <v>0</v>
      </c>
      <c r="E19" s="32">
        <f t="shared" si="1"/>
        <v>-215073</v>
      </c>
      <c r="F19" s="31">
        <f t="shared" si="1"/>
        <v>-299435.49</v>
      </c>
      <c r="G19" s="31">
        <f t="shared" si="1"/>
        <v>5499.4900000000007</v>
      </c>
      <c r="H19" s="25"/>
    </row>
    <row r="20" spans="1:8" x14ac:dyDescent="0.2">
      <c r="A20" s="25"/>
      <c r="B20" s="33"/>
      <c r="C20" s="34"/>
      <c r="D20" s="34"/>
      <c r="E20" s="34"/>
      <c r="F20" s="34"/>
      <c r="G20" s="34"/>
      <c r="H20" s="25"/>
    </row>
    <row r="21" spans="1:8" ht="15" x14ac:dyDescent="0.25">
      <c r="A21" s="100" t="s">
        <v>71</v>
      </c>
      <c r="B21" s="101"/>
      <c r="C21" s="34"/>
      <c r="D21" s="34"/>
      <c r="E21" s="34"/>
      <c r="F21" s="34"/>
      <c r="G21" s="34"/>
      <c r="H21" s="25"/>
    </row>
    <row r="22" spans="1:8" x14ac:dyDescent="0.2">
      <c r="A22" s="35"/>
      <c r="B22" s="36" t="s">
        <v>72</v>
      </c>
      <c r="C22" s="34"/>
      <c r="D22" s="34"/>
      <c r="E22" s="34"/>
      <c r="F22" s="34"/>
      <c r="G22" s="34"/>
      <c r="H22" s="25"/>
    </row>
    <row r="23" spans="1:8" ht="13.15" customHeight="1" x14ac:dyDescent="0.2">
      <c r="A23" s="25">
        <v>1001</v>
      </c>
      <c r="B23" s="37" t="s">
        <v>1</v>
      </c>
      <c r="C23" s="23">
        <f>SUMIF('[1]Cost Centre Summary'!A$1:A$65536,$A23,'[1]Cost Centre Summary'!H$1:H$65536)</f>
        <v>142492</v>
      </c>
      <c r="D23" s="22">
        <f>SUMIF('[1]Cost Centre Summary'!A$1:A$65536,$A23,'[1]Cost Centre Summary'!J$1:J$65536)</f>
        <v>71426.179999999993</v>
      </c>
      <c r="E23" s="23">
        <f>5082+442</f>
        <v>5524</v>
      </c>
      <c r="F23" s="22">
        <f>SUMIF('[1]Cost Centre Summary'!A$1:A$65536,$A23,'[1]Cost Centre Summary'!N$1:N$65536)</f>
        <v>65542.210000000006</v>
      </c>
      <c r="G23" s="24">
        <f>C23-D23-E23-F23</f>
        <v>-0.38999999999941792</v>
      </c>
      <c r="H23" s="25">
        <v>4</v>
      </c>
    </row>
    <row r="24" spans="1:8" x14ac:dyDescent="0.2">
      <c r="A24" s="25">
        <v>1002</v>
      </c>
      <c r="B24" s="37" t="s">
        <v>2</v>
      </c>
      <c r="C24" s="23">
        <f>SUMIF('[1]Cost Centre Summary'!A$1:A$65536,$A24,'[1]Cost Centre Summary'!H$1:H$65536)</f>
        <v>92875</v>
      </c>
      <c r="D24" s="22">
        <f>SUMIF('[1]Cost Centre Summary'!A$1:A$65536,$A24,'[1]Cost Centre Summary'!J$1:J$65536)</f>
        <v>45894.840000000004</v>
      </c>
      <c r="E24" s="23">
        <f>1491+300</f>
        <v>1791</v>
      </c>
      <c r="F24" s="22">
        <f>SUMIF('[1]Cost Centre Summary'!A$1:A$65536,$A24,'[1]Cost Centre Summary'!N$1:N$65536)</f>
        <v>43936.4</v>
      </c>
      <c r="G24" s="24">
        <f t="shared" ref="G24:G38" si="2">C24-D24-E24-F24</f>
        <v>1252.7599999999948</v>
      </c>
      <c r="H24" s="25">
        <v>5</v>
      </c>
    </row>
    <row r="25" spans="1:8" x14ac:dyDescent="0.2">
      <c r="A25" s="25">
        <v>1003</v>
      </c>
      <c r="B25" s="37" t="s">
        <v>3</v>
      </c>
      <c r="C25" s="23">
        <f>SUMIF('[1]Cost Centre Summary'!A$1:A$65536,$A25,'[1]Cost Centre Summary'!H$1:H$65536)</f>
        <v>2400</v>
      </c>
      <c r="D25" s="22">
        <f>SUMIF('[1]Cost Centre Summary'!A$1:A$65536,$A25,'[1]Cost Centre Summary'!J$1:J$65536)</f>
        <v>0</v>
      </c>
      <c r="E25" s="23">
        <v>1725</v>
      </c>
      <c r="F25" s="22">
        <f>SUMIF('[1]Cost Centre Summary'!A$1:A$65536,$A25,'[1]Cost Centre Summary'!N$1:N$65536)</f>
        <v>675</v>
      </c>
      <c r="G25" s="22">
        <f t="shared" si="2"/>
        <v>0</v>
      </c>
      <c r="H25" s="25"/>
    </row>
    <row r="26" spans="1:8" x14ac:dyDescent="0.2">
      <c r="A26" s="25">
        <v>1005</v>
      </c>
      <c r="B26" s="37" t="s">
        <v>4</v>
      </c>
      <c r="C26" s="23">
        <f>SUMIF('[1]Cost Centre Summary'!A$1:A$65536,$A26,'[1]Cost Centre Summary'!H$1:H$65536)</f>
        <v>1280</v>
      </c>
      <c r="D26" s="22">
        <f>SUMIF('[1]Cost Centre Summary'!A$1:A$65536,$A26,'[1]Cost Centre Summary'!J$1:J$65536)</f>
        <v>145</v>
      </c>
      <c r="E26" s="23">
        <v>1135</v>
      </c>
      <c r="F26" s="22">
        <f>SUMIF('[1]Cost Centre Summary'!A$1:A$65536,$A26,'[1]Cost Centre Summary'!N$1:N$65536)</f>
        <v>0</v>
      </c>
      <c r="G26" s="22">
        <f t="shared" si="2"/>
        <v>0</v>
      </c>
      <c r="H26" s="25"/>
    </row>
    <row r="27" spans="1:8" x14ac:dyDescent="0.2">
      <c r="A27" s="25">
        <v>2001</v>
      </c>
      <c r="B27" s="38" t="s">
        <v>5</v>
      </c>
      <c r="C27" s="23">
        <f>SUMIF('[1]Cost Centre Summary'!A$1:A$65536,$A27,'[1]Cost Centre Summary'!H$1:H$65536)</f>
        <v>59245</v>
      </c>
      <c r="D27" s="22">
        <f>SUMIF('[1]Cost Centre Summary'!A$1:A$65536,$A27,'[1]Cost Centre Summary'!J$1:J$65536)</f>
        <v>27959.74</v>
      </c>
      <c r="E27" s="23">
        <v>4000</v>
      </c>
      <c r="F27" s="22">
        <f>SUMIF('[1]Cost Centre Summary'!A$1:A$65536,$A27,'[1]Cost Centre Summary'!N$1:N$65536)</f>
        <v>25265.72</v>
      </c>
      <c r="G27" s="22">
        <f t="shared" si="2"/>
        <v>2019.5399999999972</v>
      </c>
      <c r="H27" s="25">
        <v>6</v>
      </c>
    </row>
    <row r="28" spans="1:8" x14ac:dyDescent="0.2">
      <c r="A28" s="25">
        <v>2002</v>
      </c>
      <c r="B28" s="11" t="s">
        <v>6</v>
      </c>
      <c r="C28" s="23">
        <f>SUMIF('[1]Cost Centre Summary'!A$1:A$65536,$A28,'[1]Cost Centre Summary'!H$1:H$65536)</f>
        <v>11524</v>
      </c>
      <c r="D28" s="22">
        <f>SUMIF('[1]Cost Centre Summary'!A$1:A$65536,$A28,'[1]Cost Centre Summary'!J$1:J$65536)</f>
        <v>5393.29</v>
      </c>
      <c r="E28" s="23">
        <v>435</v>
      </c>
      <c r="F28" s="22">
        <f>SUMIF('[1]Cost Centre Summary'!A$1:A$65536,$A28,'[1]Cost Centre Summary'!N$1:N$65536)</f>
        <v>5695.72</v>
      </c>
      <c r="G28" s="22">
        <f t="shared" si="2"/>
        <v>-1.0000000000218279E-2</v>
      </c>
      <c r="H28" s="25"/>
    </row>
    <row r="29" spans="1:8" x14ac:dyDescent="0.2">
      <c r="A29" s="25">
        <v>3001</v>
      </c>
      <c r="B29" s="11" t="s">
        <v>8</v>
      </c>
      <c r="C29" s="23">
        <f>SUMIF('[1]Cost Centre Summary'!A$1:A$65536,$A29,'[1]Cost Centre Summary'!H$1:H$65536)</f>
        <v>43547</v>
      </c>
      <c r="D29" s="22">
        <f>SUMIF('[1]Cost Centre Summary'!A$1:A$65536,$A29,'[1]Cost Centre Summary'!J$1:J$65536)</f>
        <v>21105.21</v>
      </c>
      <c r="E29" s="23">
        <v>721</v>
      </c>
      <c r="F29" s="22">
        <f>SUMIF('[1]Cost Centre Summary'!A$1:A$65536,$A29,'[1]Cost Centre Summary'!N$1:N$65536)</f>
        <v>21720.9</v>
      </c>
      <c r="G29" s="22">
        <f t="shared" si="2"/>
        <v>-0.11000000000058208</v>
      </c>
      <c r="H29" s="25"/>
    </row>
    <row r="30" spans="1:8" ht="13.5" customHeight="1" x14ac:dyDescent="0.2">
      <c r="A30" s="25">
        <v>4001</v>
      </c>
      <c r="B30" s="11" t="s">
        <v>9</v>
      </c>
      <c r="C30" s="23">
        <f>SUMIF('[1]Cost Centre Summary'!A$1:A$65536,$A30,'[1]Cost Centre Summary'!H$1:H$65536)</f>
        <v>1327</v>
      </c>
      <c r="D30" s="22">
        <f>SUMIF('[1]Cost Centre Summary'!A$1:A$65536,$A30,'[1]Cost Centre Summary'!J$1:J$65536)</f>
        <v>0</v>
      </c>
      <c r="E30" s="23">
        <v>999</v>
      </c>
      <c r="F30" s="22">
        <f>SUMIF('[1]Cost Centre Summary'!A$1:A$65536,$A30,'[1]Cost Centre Summary'!N$1:N$65536)</f>
        <v>328.19</v>
      </c>
      <c r="G30" s="22">
        <f t="shared" si="2"/>
        <v>-0.18999999999999773</v>
      </c>
      <c r="H30" s="25"/>
    </row>
    <row r="31" spans="1:8" x14ac:dyDescent="0.2">
      <c r="A31" s="25">
        <v>4002</v>
      </c>
      <c r="B31" s="11" t="s">
        <v>10</v>
      </c>
      <c r="C31" s="23">
        <f>SUMIF('[1]Cost Centre Summary'!A$1:A$65536,$A31,'[1]Cost Centre Summary'!H$1:H$65536)</f>
        <v>3899</v>
      </c>
      <c r="D31" s="22">
        <f>SUMIF('[1]Cost Centre Summary'!A$1:A$65536,$A31,'[1]Cost Centre Summary'!J$1:J$65536)</f>
        <v>0</v>
      </c>
      <c r="E31" s="23">
        <v>2053</v>
      </c>
      <c r="F31" s="22">
        <f>SUMIF('[1]Cost Centre Summary'!A$1:A$65536,$A31,'[1]Cost Centre Summary'!N$1:N$65536)</f>
        <v>1917.76</v>
      </c>
      <c r="G31" s="39">
        <f t="shared" si="2"/>
        <v>-71.759999999999991</v>
      </c>
      <c r="H31" s="25"/>
    </row>
    <row r="32" spans="1:8" x14ac:dyDescent="0.2">
      <c r="A32" s="25">
        <v>4003</v>
      </c>
      <c r="B32" s="26" t="s">
        <v>11</v>
      </c>
      <c r="C32" s="23">
        <v>200</v>
      </c>
      <c r="D32" s="22">
        <f>SUMIF('[1]Cost Centre Summary'!A$1:A$65536,$A32,'[1]Cost Centre Summary'!J$1:J$65536)</f>
        <v>0</v>
      </c>
      <c r="E32" s="23">
        <v>187</v>
      </c>
      <c r="F32" s="22">
        <f>SUMIF('[1]Cost Centre Summary'!A$1:A$65536,$A32,'[1]Cost Centre Summary'!N$1:N$65536)</f>
        <v>13.05</v>
      </c>
      <c r="G32" s="22">
        <f t="shared" si="2"/>
        <v>-5.0000000000000711E-2</v>
      </c>
      <c r="H32" s="25"/>
    </row>
    <row r="33" spans="1:8" x14ac:dyDescent="0.2">
      <c r="A33" s="25">
        <v>7013</v>
      </c>
      <c r="B33" s="11" t="s">
        <v>27</v>
      </c>
      <c r="C33" s="23">
        <f>SUMIF('[1]Cost Centre Summary'!A$1:A$65536,$A33,'[1]Cost Centre Summary'!H$1:H$65536)</f>
        <v>2950</v>
      </c>
      <c r="D33" s="22">
        <f>SUMIF('[1]Cost Centre Summary'!A$1:A$65536,$A33,'[1]Cost Centre Summary'!J$1:J$65536)</f>
        <v>635</v>
      </c>
      <c r="E33" s="23">
        <v>1932.5</v>
      </c>
      <c r="F33" s="22">
        <f>SUMIF('[1]Cost Centre Summary'!A$1:A$65536,$A33,'[1]Cost Centre Summary'!N$1:N$65536)</f>
        <v>382.5</v>
      </c>
      <c r="G33" s="22">
        <f t="shared" si="2"/>
        <v>0</v>
      </c>
      <c r="H33" s="25"/>
    </row>
    <row r="34" spans="1:8" x14ac:dyDescent="0.2">
      <c r="A34" s="25">
        <v>7016</v>
      </c>
      <c r="B34" s="11" t="s">
        <v>28</v>
      </c>
      <c r="C34" s="23">
        <f>SUMIF('[1]Cost Centre Summary'!A$1:A$65536,$A34,'[1]Cost Centre Summary'!H$1:H$65536)</f>
        <v>1280</v>
      </c>
      <c r="D34" s="22">
        <f>SUMIF('[1]Cost Centre Summary'!A$1:A$65536,$A34,'[1]Cost Centre Summary'!J$1:J$65536)</f>
        <v>145</v>
      </c>
      <c r="E34" s="23">
        <v>827</v>
      </c>
      <c r="F34" s="22">
        <f>SUMIF('[1]Cost Centre Summary'!A$1:A$65536,$A34,'[1]Cost Centre Summary'!N$1:N$65536)</f>
        <v>308.02</v>
      </c>
      <c r="G34" s="22">
        <f t="shared" si="2"/>
        <v>-1.999999999998181E-2</v>
      </c>
      <c r="H34" s="25"/>
    </row>
    <row r="35" spans="1:8" x14ac:dyDescent="0.2">
      <c r="A35" s="25">
        <v>7018</v>
      </c>
      <c r="B35" s="11" t="s">
        <v>29</v>
      </c>
      <c r="C35" s="23">
        <f>SUMIF('[1]Cost Centre Summary'!A$1:A$65536,$A35,'[1]Cost Centre Summary'!H$1:H$65536)</f>
        <v>160</v>
      </c>
      <c r="D35" s="22">
        <f>SUMIF('[1]Cost Centre Summary'!A$1:A$65536,$A35,'[1]Cost Centre Summary'!J$1:J$65536)</f>
        <v>0</v>
      </c>
      <c r="E35" s="23"/>
      <c r="F35" s="22">
        <f>SUMIF('[1]Cost Centre Summary'!A$1:A$65536,$A35,'[1]Cost Centre Summary'!N$1:N$65536)</f>
        <v>0</v>
      </c>
      <c r="G35" s="22">
        <f t="shared" si="2"/>
        <v>160</v>
      </c>
      <c r="H35" s="25"/>
    </row>
    <row r="36" spans="1:8" x14ac:dyDescent="0.2">
      <c r="A36" s="25">
        <v>7020</v>
      </c>
      <c r="B36" s="11" t="s">
        <v>30</v>
      </c>
      <c r="C36" s="23">
        <f>SUMIF('[1]Cost Centre Summary'!A$1:A$65536,$A36,'[1]Cost Centre Summary'!H$1:H$65536)</f>
        <v>160</v>
      </c>
      <c r="D36" s="22">
        <f>SUMIF('[1]Cost Centre Summary'!A$1:A$65536,$A36,'[1]Cost Centre Summary'!J$1:J$65536)</f>
        <v>0</v>
      </c>
      <c r="E36" s="23"/>
      <c r="F36" s="22">
        <f>SUMIF('[1]Cost Centre Summary'!A$1:A$65536,$A36,'[1]Cost Centre Summary'!N$1:N$65536)</f>
        <v>160</v>
      </c>
      <c r="G36" s="22">
        <f t="shared" si="2"/>
        <v>0</v>
      </c>
      <c r="H36" s="25"/>
    </row>
    <row r="37" spans="1:8" x14ac:dyDescent="0.2">
      <c r="A37" s="25">
        <v>7025</v>
      </c>
      <c r="B37" s="11" t="s">
        <v>33</v>
      </c>
      <c r="C37" s="23">
        <f>SUMIF('[1]Cost Centre Summary'!A$1:A$65536,$A37,'[1]Cost Centre Summary'!H$1:H$65536)</f>
        <v>3680</v>
      </c>
      <c r="D37" s="22">
        <f>SUMIF('[1]Cost Centre Summary'!A$1:A$65536,$A37,'[1]Cost Centre Summary'!J$1:J$65536)</f>
        <v>0</v>
      </c>
      <c r="E37" s="23"/>
      <c r="F37" s="22">
        <f>SUMIF('[1]Cost Centre Summary'!A$1:A$65536,$A37,'[1]Cost Centre Summary'!N$1:N$65536)</f>
        <v>4205</v>
      </c>
      <c r="G37" s="39">
        <f t="shared" si="2"/>
        <v>-525</v>
      </c>
      <c r="H37" s="25">
        <v>7</v>
      </c>
    </row>
    <row r="38" spans="1:8" x14ac:dyDescent="0.2">
      <c r="A38" s="25">
        <v>7029</v>
      </c>
      <c r="B38" s="11" t="s">
        <v>35</v>
      </c>
      <c r="C38" s="22">
        <f>SUMIF('[1]Cost Centre Summary'!A$1:A$65536,$A38,'[1]Cost Centre Summary'!H$1:H$65536)</f>
        <v>0</v>
      </c>
      <c r="D38" s="22">
        <f>SUMIF('[1]Cost Centre Summary'!A$1:A$65536,$A38,'[1]Cost Centre Summary'!J$1:J$65536)</f>
        <v>0</v>
      </c>
      <c r="E38" s="23"/>
      <c r="F38" s="22">
        <f>SUMIF('[1]Cost Centre Summary'!A$1:A$65536,$A38,'[1]Cost Centre Summary'!N$1:N$65536)</f>
        <v>80</v>
      </c>
      <c r="G38" s="39">
        <f t="shared" si="2"/>
        <v>-80</v>
      </c>
      <c r="H38" s="25"/>
    </row>
    <row r="39" spans="1:8" ht="13.5" customHeight="1" x14ac:dyDescent="0.2">
      <c r="B39" s="30" t="s">
        <v>73</v>
      </c>
      <c r="C39" s="31">
        <f>SUM(C23:C38)</f>
        <v>367019</v>
      </c>
      <c r="D39" s="31">
        <f>SUM(D23:D38)</f>
        <v>172704.25999999998</v>
      </c>
      <c r="E39" s="32">
        <f>SUM(E23:E38)</f>
        <v>21329.5</v>
      </c>
      <c r="F39" s="31">
        <f>SUM(F23:F38)</f>
        <v>170230.47</v>
      </c>
      <c r="G39" s="31">
        <f>SUM(G23:G38)</f>
        <v>2754.7699999999918</v>
      </c>
      <c r="H39" s="25"/>
    </row>
    <row r="40" spans="1:8" ht="12.75" hidden="1" customHeight="1" x14ac:dyDescent="0.2">
      <c r="A40" s="25" t="s">
        <v>74</v>
      </c>
      <c r="B40" s="26"/>
      <c r="C40" s="22">
        <f>SUMIF('[1]Cost Centre Summary'!A$1:A$65536,$A40,'[1]Cost Centre Summary'!H$1:H$65536)</f>
        <v>0</v>
      </c>
      <c r="D40" s="22">
        <f>SUMIF('[1]Cost Centre Summary'!A$1:A$65536,$A40,'[1]Cost Centre Summary'!J$1:J$65536)</f>
        <v>0</v>
      </c>
      <c r="E40" s="23">
        <v>8</v>
      </c>
      <c r="F40" s="22">
        <f>SUMIF('[1]Cost Centre Summary'!A$1:A$65536,$A40,'[1]Cost Centre Summary'!N$1:N$65536)</f>
        <v>0</v>
      </c>
      <c r="G40" s="22">
        <f>+D40+E40+F40</f>
        <v>8</v>
      </c>
      <c r="H40" s="25"/>
    </row>
    <row r="41" spans="1:8" ht="12.75" customHeight="1" x14ac:dyDescent="0.2">
      <c r="A41" s="25"/>
      <c r="B41" s="26"/>
      <c r="C41" s="22"/>
      <c r="D41" s="22"/>
      <c r="E41" s="23"/>
      <c r="F41" s="22"/>
      <c r="G41" s="22"/>
      <c r="H41" s="25"/>
    </row>
    <row r="42" spans="1:8" s="42" customFormat="1" ht="16.5" customHeight="1" x14ac:dyDescent="0.2">
      <c r="A42" s="20"/>
      <c r="B42" s="40" t="s">
        <v>75</v>
      </c>
      <c r="C42" s="41"/>
      <c r="D42" s="41"/>
      <c r="E42" s="41"/>
      <c r="F42" s="41"/>
      <c r="G42" s="41"/>
      <c r="H42" s="20"/>
    </row>
    <row r="43" spans="1:8" x14ac:dyDescent="0.2">
      <c r="A43" s="25">
        <v>5001</v>
      </c>
      <c r="B43" s="26" t="s">
        <v>12</v>
      </c>
      <c r="C43" s="22">
        <f>SUMIF('[1]Cost Centre Summary'!A$1:A$65536,$A43,'[1]Cost Centre Summary'!H$1:H$65536)</f>
        <v>1514</v>
      </c>
      <c r="D43" s="22">
        <v>877</v>
      </c>
      <c r="E43" s="23">
        <v>72</v>
      </c>
      <c r="F43" s="22">
        <v>564.6</v>
      </c>
      <c r="G43" s="22">
        <f t="shared" ref="G43:G67" si="3">C43-D43-E43-F43</f>
        <v>0.39999999999997726</v>
      </c>
      <c r="H43" s="25"/>
    </row>
    <row r="44" spans="1:8" x14ac:dyDescent="0.2">
      <c r="A44" s="25">
        <v>5002</v>
      </c>
      <c r="B44" s="26" t="s">
        <v>13</v>
      </c>
      <c r="C44" s="22">
        <f>SUMIF('[1]Cost Centre Summary'!A$1:A$65536,$A44,'[1]Cost Centre Summary'!H$1:H$65536)</f>
        <v>2000</v>
      </c>
      <c r="D44" s="22">
        <v>690</v>
      </c>
      <c r="E44" s="23">
        <v>0</v>
      </c>
      <c r="F44" s="22">
        <f>SUMIF('[1]Cost Centre Summary'!A$1:A$65536,$A44,'[1]Cost Centre Summary'!N$1:N$65536)</f>
        <v>0</v>
      </c>
      <c r="G44" s="22">
        <f t="shared" si="3"/>
        <v>1310</v>
      </c>
      <c r="H44" s="25">
        <v>8</v>
      </c>
    </row>
    <row r="45" spans="1:8" x14ac:dyDescent="0.2">
      <c r="A45" s="25">
        <v>5003</v>
      </c>
      <c r="B45" s="26" t="s">
        <v>14</v>
      </c>
      <c r="C45" s="22">
        <f>SUMIF('[1]Cost Centre Summary'!A$1:A$65536,$A45,'[1]Cost Centre Summary'!H$1:H$65536)</f>
        <v>4205</v>
      </c>
      <c r="D45" s="22">
        <v>1001</v>
      </c>
      <c r="E45" s="23">
        <f>968+360+230+75</f>
        <v>1633</v>
      </c>
      <c r="F45" s="22">
        <f>SUMIF('[1]Cost Centre Summary'!A$1:A$65536,$A45,'[1]Cost Centre Summary'!N$1:N$65536)</f>
        <v>1914.93</v>
      </c>
      <c r="G45" s="39">
        <f t="shared" si="3"/>
        <v>-343.93000000000006</v>
      </c>
      <c r="H45" s="25"/>
    </row>
    <row r="46" spans="1:8" x14ac:dyDescent="0.2">
      <c r="A46" s="25">
        <v>5004</v>
      </c>
      <c r="B46" s="26" t="s">
        <v>15</v>
      </c>
      <c r="C46" s="22">
        <f>SUMIF('[1]Cost Centre Summary'!A$1:A$65536,$A46,'[1]Cost Centre Summary'!H$1:H$65536)</f>
        <v>3744</v>
      </c>
      <c r="D46" s="22">
        <f>SUMIF('[1]Cost Centre Summary'!A$1:A$65536,$A46,'[1]Cost Centre Summary'!J$1:J$65536)</f>
        <v>0</v>
      </c>
      <c r="E46" s="23">
        <v>1706</v>
      </c>
      <c r="F46" s="22">
        <f>SUMIF('[1]Cost Centre Summary'!A$1:A$65536,$A46,'[1]Cost Centre Summary'!N$1:N$65536)</f>
        <v>2037.54</v>
      </c>
      <c r="G46" s="22">
        <f t="shared" si="3"/>
        <v>0.46000000000003638</v>
      </c>
      <c r="H46" s="25"/>
    </row>
    <row r="47" spans="1:8" x14ac:dyDescent="0.2">
      <c r="A47" s="25">
        <v>6001</v>
      </c>
      <c r="B47" s="26" t="s">
        <v>16</v>
      </c>
      <c r="C47" s="22">
        <f>SUMIF('[1]Cost Centre Summary'!A$1:A$65536,$A47,'[1]Cost Centre Summary'!H$1:H$65536)</f>
        <v>10854</v>
      </c>
      <c r="D47" s="22">
        <f>SUMIF('[1]Cost Centre Summary'!A$1:A$65536,$A47,'[1]Cost Centre Summary'!J$1:J$65536)</f>
        <v>5923.29</v>
      </c>
      <c r="E47" s="23">
        <v>-1712</v>
      </c>
      <c r="F47" s="22">
        <v>6643</v>
      </c>
      <c r="G47" s="22">
        <f t="shared" si="3"/>
        <v>-0.28999999999996362</v>
      </c>
      <c r="H47" s="25"/>
    </row>
    <row r="48" spans="1:8" x14ac:dyDescent="0.2">
      <c r="A48" s="25">
        <v>6002</v>
      </c>
      <c r="B48" s="26" t="s">
        <v>76</v>
      </c>
      <c r="C48" s="22">
        <f>SUMIF('[1]Cost Centre Summary'!A$1:A$65536,$A48,'[1]Cost Centre Summary'!H$1:H$65536)</f>
        <v>700</v>
      </c>
      <c r="D48" s="22">
        <f>SUMIF('[1]Cost Centre Summary'!A$1:A$65536,$A48,'[1]Cost Centre Summary'!J$1:J$65536)</f>
        <v>0</v>
      </c>
      <c r="E48" s="23">
        <v>340</v>
      </c>
      <c r="F48" s="22">
        <v>360</v>
      </c>
      <c r="G48" s="22">
        <f t="shared" si="3"/>
        <v>0</v>
      </c>
      <c r="H48" s="25"/>
    </row>
    <row r="49" spans="1:8" x14ac:dyDescent="0.2">
      <c r="A49" s="25">
        <v>6007</v>
      </c>
      <c r="B49" s="26" t="s">
        <v>21</v>
      </c>
      <c r="C49" s="22">
        <f>SUMIF('[1]Cost Centre Summary'!A$1:A$65536,$A49,'[1]Cost Centre Summary'!H$1:H$65536)</f>
        <v>400</v>
      </c>
      <c r="D49" s="22">
        <f>SUMIF('[1]Cost Centre Summary'!A$1:A$65536,$A49,'[1]Cost Centre Summary'!J$1:J$65536)</f>
        <v>0</v>
      </c>
      <c r="E49" s="23">
        <v>239</v>
      </c>
      <c r="F49" s="22">
        <f>SUMIF('[1]Cost Centre Summary'!A$1:A$65536,$A49,'[1]Cost Centre Summary'!N$1:N$65536)</f>
        <v>160.53</v>
      </c>
      <c r="G49" s="22">
        <f t="shared" si="3"/>
        <v>0.46999999999999886</v>
      </c>
      <c r="H49" s="25"/>
    </row>
    <row r="50" spans="1:8" x14ac:dyDescent="0.2">
      <c r="A50" s="25">
        <v>6003</v>
      </c>
      <c r="B50" s="26" t="s">
        <v>17</v>
      </c>
      <c r="C50" s="22">
        <f>SUMIF('[1]Cost Centre Summary'!A$1:A$65536,$A50,'[1]Cost Centre Summary'!H$1:H$65536)</f>
        <v>4840</v>
      </c>
      <c r="D50" s="22">
        <f>SUMIF('[1]Cost Centre Summary'!A$1:A$65536,$A50,'[1]Cost Centre Summary'!J$1:J$65536)</f>
        <v>0</v>
      </c>
      <c r="E50" s="23">
        <v>3521</v>
      </c>
      <c r="F50" s="22">
        <f>SUMIF('[1]Cost Centre Summary'!A$1:A$65536,$A50,'[1]Cost Centre Summary'!N$1:N$65536)</f>
        <v>1318.92</v>
      </c>
      <c r="G50" s="22">
        <f t="shared" si="3"/>
        <v>7.999999999992724E-2</v>
      </c>
      <c r="H50" s="25"/>
    </row>
    <row r="51" spans="1:8" x14ac:dyDescent="0.2">
      <c r="A51" s="25">
        <v>6004</v>
      </c>
      <c r="B51" s="26" t="s">
        <v>18</v>
      </c>
      <c r="C51" s="22">
        <f>SUMIF('[1]Cost Centre Summary'!A$1:A$65536,$A51,'[1]Cost Centre Summary'!H$1:H$65536)</f>
        <v>10434</v>
      </c>
      <c r="D51" s="22">
        <f>SUMIF('[1]Cost Centre Summary'!A$1:A$65536,$A51,'[1]Cost Centre Summary'!J$1:J$65536)</f>
        <v>0</v>
      </c>
      <c r="E51" s="23">
        <v>0</v>
      </c>
      <c r="F51" s="22">
        <f>SUMIF('[1]Cost Centre Summary'!A$1:A$65536,$A51,'[1]Cost Centre Summary'!N$1:N$65536)</f>
        <v>10434</v>
      </c>
      <c r="G51" s="22">
        <f t="shared" si="3"/>
        <v>0</v>
      </c>
      <c r="H51" s="25"/>
    </row>
    <row r="52" spans="1:8" x14ac:dyDescent="0.2">
      <c r="A52" s="25">
        <v>6005</v>
      </c>
      <c r="B52" s="26" t="s">
        <v>19</v>
      </c>
      <c r="C52" s="22">
        <f>SUMIF('[1]Cost Centre Summary'!A$1:A$65536,$A52,'[1]Cost Centre Summary'!H$1:H$65536)</f>
        <v>1368</v>
      </c>
      <c r="D52" s="22">
        <f>SUMIF('[1]Cost Centre Summary'!A$1:A$65536,$A52,'[1]Cost Centre Summary'!J$1:J$65536)</f>
        <v>0</v>
      </c>
      <c r="E52" s="23">
        <v>950</v>
      </c>
      <c r="F52" s="22">
        <f>SUMIF('[1]Cost Centre Summary'!A$1:A$65536,$A52,'[1]Cost Centre Summary'!N$1:N$65536)</f>
        <v>544.20000000000005</v>
      </c>
      <c r="G52" s="39">
        <f t="shared" si="3"/>
        <v>-126.20000000000005</v>
      </c>
      <c r="H52" s="25"/>
    </row>
    <row r="53" spans="1:8" x14ac:dyDescent="0.2">
      <c r="A53" s="25">
        <v>6006</v>
      </c>
      <c r="B53" s="26" t="s">
        <v>20</v>
      </c>
      <c r="C53" s="22">
        <f>SUMIF('[1]Cost Centre Summary'!A$1:A$65536,$A53,'[1]Cost Centre Summary'!H$1:H$65536)</f>
        <v>3204</v>
      </c>
      <c r="D53" s="22">
        <f>SUMIF('[1]Cost Centre Summary'!A$1:A$65536,$A53,'[1]Cost Centre Summary'!J$1:J$65536)</f>
        <v>0</v>
      </c>
      <c r="E53" s="23">
        <v>1818</v>
      </c>
      <c r="F53" s="22">
        <f>SUMIF('[1]Cost Centre Summary'!A$1:A$65536,$A53,'[1]Cost Centre Summary'!N$1:N$65536)</f>
        <v>1386.32</v>
      </c>
      <c r="G53" s="22">
        <f t="shared" si="3"/>
        <v>-0.31999999999993634</v>
      </c>
      <c r="H53" s="25"/>
    </row>
    <row r="54" spans="1:8" x14ac:dyDescent="0.2">
      <c r="A54" s="25">
        <v>7028</v>
      </c>
      <c r="B54" s="26" t="s">
        <v>34</v>
      </c>
      <c r="C54" s="22">
        <f>SUMIF('[1]Cost Centre Summary'!A$1:A$65536,$A54,'[1]Cost Centre Summary'!H$1:H$65536)</f>
        <v>1500</v>
      </c>
      <c r="D54" s="22">
        <f>SUMIF('[1]Cost Centre Summary'!A$1:A$65536,$A54,'[1]Cost Centre Summary'!J$1:J$65536)</f>
        <v>0</v>
      </c>
      <c r="E54" s="23">
        <v>661</v>
      </c>
      <c r="F54" s="22">
        <f>SUMIF('[1]Cost Centre Summary'!A$1:A$65536,$A54,'[1]Cost Centre Summary'!N$1:N$65536)</f>
        <v>839.46</v>
      </c>
      <c r="G54" s="22">
        <f t="shared" si="3"/>
        <v>-0.46000000000003638</v>
      </c>
      <c r="H54" s="25"/>
    </row>
    <row r="55" spans="1:8" x14ac:dyDescent="0.2">
      <c r="A55" s="25">
        <v>7031</v>
      </c>
      <c r="B55" s="26" t="s">
        <v>68</v>
      </c>
      <c r="C55" s="22">
        <f>SUMIF('[1]Cost Centre Summary'!A$1:A$65536,$A55,'[1]Cost Centre Summary'!H$1:H$65536)</f>
        <v>11000</v>
      </c>
      <c r="D55" s="22">
        <f>SUMIF('[1]Cost Centre Summary'!A$1:A$65536,$A55,'[1]Cost Centre Summary'!J$1:J$65536)</f>
        <v>0</v>
      </c>
      <c r="E55" s="23">
        <v>6213</v>
      </c>
      <c r="F55" s="22">
        <f>SUMIF('[1]Cost Centre Summary'!A$1:A$65536,$A55,'[1]Cost Centre Summary'!N$1:N$65536)</f>
        <v>4787</v>
      </c>
      <c r="G55" s="22">
        <f t="shared" si="3"/>
        <v>0</v>
      </c>
      <c r="H55" s="25"/>
    </row>
    <row r="56" spans="1:8" x14ac:dyDescent="0.2">
      <c r="A56" s="25">
        <v>7032</v>
      </c>
      <c r="B56" s="26" t="s">
        <v>37</v>
      </c>
      <c r="C56" s="22">
        <f>SUMIF('[1]Cost Centre Summary'!A$1:A$65536,$A56,'[1]Cost Centre Summary'!H$1:H$65536)</f>
        <v>6007</v>
      </c>
      <c r="D56" s="22">
        <f>SUMIF('[1]Cost Centre Summary'!A$1:A$65536,$A56,'[1]Cost Centre Summary'!J$1:J$65536)</f>
        <v>5204</v>
      </c>
      <c r="E56" s="23">
        <f>-627-3580-1383-88-597+303+234+170</f>
        <v>-5568</v>
      </c>
      <c r="F56" s="22">
        <f>SUMIF('[1]Cost Centre Summary'!A$1:A$65536,$A56,'[1]Cost Centre Summary'!N$1:N$65536)</f>
        <v>5893.43</v>
      </c>
      <c r="G56" s="22">
        <f t="shared" si="3"/>
        <v>477.56999999999971</v>
      </c>
      <c r="H56" s="25"/>
    </row>
    <row r="57" spans="1:8" x14ac:dyDescent="0.2">
      <c r="A57" s="25">
        <v>8001</v>
      </c>
      <c r="B57" s="26" t="s">
        <v>41</v>
      </c>
      <c r="C57" s="22">
        <f>SUMIF('[1]Cost Centre Summary'!A$1:A$65536,$A57,'[1]Cost Centre Summary'!H$1:H$65536)-200</f>
        <v>2838</v>
      </c>
      <c r="D57" s="22">
        <f>SUMIF('[1]Cost Centre Summary'!A$1:A$65536,$A57,'[1]Cost Centre Summary'!J$1:J$65536)</f>
        <v>42.81</v>
      </c>
      <c r="E57" s="23">
        <v>1833</v>
      </c>
      <c r="F57" s="22">
        <f>SUMIF('[1]Cost Centre Summary'!A$1:A$65536,$A57,'[1]Cost Centre Summary'!N$1:N$65536)</f>
        <v>961.73</v>
      </c>
      <c r="G57" s="22">
        <f t="shared" si="3"/>
        <v>0.46000000000003638</v>
      </c>
      <c r="H57" s="25"/>
    </row>
    <row r="58" spans="1:8" x14ac:dyDescent="0.2">
      <c r="A58" s="25">
        <v>8002</v>
      </c>
      <c r="B58" s="26" t="s">
        <v>42</v>
      </c>
      <c r="C58" s="22">
        <f>SUMIF('[1]Cost Centre Summary'!A$1:A$65536,$A58,'[1]Cost Centre Summary'!H$1:H$65536)</f>
        <v>5800</v>
      </c>
      <c r="D58" s="22">
        <f>SUMIF('[1]Cost Centre Summary'!A$1:A$65536,$A58,'[1]Cost Centre Summary'!J$1:J$65536)</f>
        <v>0</v>
      </c>
      <c r="E58" s="23">
        <f>828+70+2013+200+100</f>
        <v>3211</v>
      </c>
      <c r="F58" s="22">
        <f>SUMIF('[1]Cost Centre Summary'!A$1:A$65536,$A58,'[1]Cost Centre Summary'!N$1:N$65536)</f>
        <v>2104.3000000000002</v>
      </c>
      <c r="G58" s="22">
        <f t="shared" si="3"/>
        <v>484.69999999999982</v>
      </c>
      <c r="H58" s="25"/>
    </row>
    <row r="59" spans="1:8" x14ac:dyDescent="0.2">
      <c r="A59" s="25">
        <v>8003</v>
      </c>
      <c r="B59" s="26" t="s">
        <v>43</v>
      </c>
      <c r="C59" s="22">
        <f>SUMIF('[1]Cost Centre Summary'!A$1:A$65536,$A59,'[1]Cost Centre Summary'!H$1:H$65536)</f>
        <v>600</v>
      </c>
      <c r="D59" s="22">
        <f>SUMIF('[1]Cost Centre Summary'!A$1:A$65536,$A59,'[1]Cost Centre Summary'!J$1:J$65536)</f>
        <v>0</v>
      </c>
      <c r="E59" s="23">
        <f>340+340+85+42</f>
        <v>807</v>
      </c>
      <c r="F59" s="22">
        <f>SUMIF('[1]Cost Centre Summary'!A$1:A$65536,$A59,'[1]Cost Centre Summary'!N$1:N$65536)</f>
        <v>-206.89000000000001</v>
      </c>
      <c r="G59" s="22">
        <f t="shared" si="3"/>
        <v>-0.10999999999998522</v>
      </c>
      <c r="H59" s="25"/>
    </row>
    <row r="60" spans="1:8" x14ac:dyDescent="0.2">
      <c r="A60" s="25">
        <v>8005</v>
      </c>
      <c r="B60" s="26" t="s">
        <v>44</v>
      </c>
      <c r="C60" s="22">
        <f>SUMIF('[1]Cost Centre Summary'!A$1:A$65536,$A60,'[1]Cost Centre Summary'!H$1:H$65536)</f>
        <v>2413</v>
      </c>
      <c r="D60" s="22">
        <f>SUMIF('[1]Cost Centre Summary'!A$1:A$65536,$A60,'[1]Cost Centre Summary'!J$1:J$65536)</f>
        <v>0</v>
      </c>
      <c r="E60" s="23">
        <f>-276+100+275+60+168+140</f>
        <v>467</v>
      </c>
      <c r="F60" s="22">
        <f>SUMIF('[1]Cost Centre Summary'!A$1:A$65536,$A60,'[1]Cost Centre Summary'!N$1:N$65536)</f>
        <v>1946.22</v>
      </c>
      <c r="G60" s="22">
        <f t="shared" si="3"/>
        <v>-0.22000000000002728</v>
      </c>
      <c r="H60" s="25"/>
    </row>
    <row r="61" spans="1:8" x14ac:dyDescent="0.2">
      <c r="A61" s="25">
        <v>8006</v>
      </c>
      <c r="B61" s="26" t="s">
        <v>45</v>
      </c>
      <c r="C61" s="22">
        <f>SUMIF('[1]Cost Centre Summary'!A$1:A$65536,$A61,'[1]Cost Centre Summary'!H$1:H$65536)</f>
        <v>1702</v>
      </c>
      <c r="D61" s="22">
        <f>SUMIF('[1]Cost Centre Summary'!A$1:A$65536,$A61,'[1]Cost Centre Summary'!J$1:J$65536)</f>
        <v>0</v>
      </c>
      <c r="E61" s="23"/>
      <c r="F61" s="22">
        <f>SUMIF('[1]Cost Centre Summary'!A$1:A$65536,$A61,'[1]Cost Centre Summary'!N$1:N$65536)</f>
        <v>1600.64</v>
      </c>
      <c r="G61" s="22">
        <f t="shared" si="3"/>
        <v>101.3599999999999</v>
      </c>
      <c r="H61" s="25"/>
    </row>
    <row r="62" spans="1:8" x14ac:dyDescent="0.2">
      <c r="A62" s="25">
        <v>8007</v>
      </c>
      <c r="B62" s="26" t="s">
        <v>56</v>
      </c>
      <c r="C62" s="22">
        <f>SUMIF('[1]Cost Centre Summary'!A$1:A$65536,$A62,'[1]Cost Centre Summary'!H$1:H$65536)</f>
        <v>1734</v>
      </c>
      <c r="D62" s="22">
        <f>SUMIF('[1]Cost Centre Summary'!A$1:A$65536,$A62,'[1]Cost Centre Summary'!J$1:J$65536)</f>
        <v>108.42</v>
      </c>
      <c r="E62" s="23">
        <v>1031</v>
      </c>
      <c r="F62" s="22">
        <f>SUMIF('[1]Cost Centre Summary'!A$1:A$65536,$A62,'[1]Cost Centre Summary'!N$1:N$65536)</f>
        <v>594.64</v>
      </c>
      <c r="G62" s="22">
        <f t="shared" si="3"/>
        <v>-6.0000000000059117E-2</v>
      </c>
      <c r="H62" s="25"/>
    </row>
    <row r="63" spans="1:8" x14ac:dyDescent="0.2">
      <c r="A63" s="25">
        <v>8008</v>
      </c>
      <c r="B63" s="26" t="s">
        <v>46</v>
      </c>
      <c r="C63" s="22">
        <f>SUMIF('[1]Cost Centre Summary'!A$1:A$65536,$A63,'[1]Cost Centre Summary'!H$1:H$65536)</f>
        <v>100</v>
      </c>
      <c r="D63" s="22">
        <f>SUMIF('[1]Cost Centre Summary'!A$1:A$65536,$A63,'[1]Cost Centre Summary'!J$1:J$65536)</f>
        <v>0</v>
      </c>
      <c r="E63" s="23">
        <v>30</v>
      </c>
      <c r="F63" s="22">
        <f>SUMIF('[1]Cost Centre Summary'!A$1:A$65536,$A63,'[1]Cost Centre Summary'!N$1:N$65536)</f>
        <v>70.2</v>
      </c>
      <c r="G63" s="22">
        <f t="shared" si="3"/>
        <v>-0.20000000000000284</v>
      </c>
      <c r="H63" s="25"/>
    </row>
    <row r="64" spans="1:8" x14ac:dyDescent="0.2">
      <c r="A64" s="25">
        <v>8009</v>
      </c>
      <c r="B64" s="26" t="s">
        <v>47</v>
      </c>
      <c r="C64" s="22">
        <f>SUMIF('[1]Cost Centre Summary'!A$1:A$65536,$A64,'[1]Cost Centre Summary'!H$1:H$65536)</f>
        <v>450</v>
      </c>
      <c r="D64" s="22">
        <f>SUMIF('[1]Cost Centre Summary'!A$1:A$65536,$A64,'[1]Cost Centre Summary'!J$1:J$65536)</f>
        <v>0</v>
      </c>
      <c r="E64" s="23">
        <v>219</v>
      </c>
      <c r="F64" s="22">
        <f>SUMIF('[1]Cost Centre Summary'!A$1:A$65536,$A64,'[1]Cost Centre Summary'!N$1:N$65536)</f>
        <v>230.86</v>
      </c>
      <c r="G64" s="22">
        <f t="shared" si="3"/>
        <v>0.13999999999998636</v>
      </c>
      <c r="H64" s="25"/>
    </row>
    <row r="65" spans="1:8" x14ac:dyDescent="0.2">
      <c r="A65" s="25">
        <v>8010</v>
      </c>
      <c r="B65" s="26" t="s">
        <v>77</v>
      </c>
      <c r="C65" s="22">
        <f>SUMIF('[1]Cost Centre Summary'!A$1:A$65536,$A65,'[1]Cost Centre Summary'!H$1:H$65536)</f>
        <v>3929</v>
      </c>
      <c r="D65" s="22">
        <f>SUMIF('[1]Cost Centre Summary'!A$1:A$65536,$A65,'[1]Cost Centre Summary'!J$1:J$65536)</f>
        <v>0</v>
      </c>
      <c r="E65" s="23">
        <f>639+787+308+359+120+140</f>
        <v>2353</v>
      </c>
      <c r="F65" s="22">
        <f>SUMIF('[1]Cost Centre Summary'!A$1:A$65536,$A65,'[1]Cost Centre Summary'!N$1:N$65536)</f>
        <v>1575.98</v>
      </c>
      <c r="G65" s="22">
        <f t="shared" si="3"/>
        <v>1.999999999998181E-2</v>
      </c>
      <c r="H65" s="25"/>
    </row>
    <row r="66" spans="1:8" x14ac:dyDescent="0.2">
      <c r="A66" s="25">
        <v>8013</v>
      </c>
      <c r="B66" s="26" t="s">
        <v>78</v>
      </c>
      <c r="C66" s="22">
        <f>SUMIF('[1]Cost Centre Summary'!A$1:A$65536,$A66,'[1]Cost Centre Summary'!H$1:H$65536)</f>
        <v>35</v>
      </c>
      <c r="D66" s="22">
        <f>SUMIF('[1]Cost Centre Summary'!A$1:A$65536,$A66,'[1]Cost Centre Summary'!J$1:J$65536)</f>
        <v>0</v>
      </c>
      <c r="E66" s="23">
        <v>35</v>
      </c>
      <c r="F66" s="22">
        <f>SUMIF('[1]Cost Centre Summary'!A$1:A$65536,$A66,'[1]Cost Centre Summary'!N$1:N$65536)</f>
        <v>0</v>
      </c>
      <c r="G66" s="22">
        <f t="shared" si="3"/>
        <v>0</v>
      </c>
      <c r="H66" s="25"/>
    </row>
    <row r="67" spans="1:8" x14ac:dyDescent="0.2">
      <c r="A67" s="25">
        <v>8015</v>
      </c>
      <c r="B67" s="26" t="s">
        <v>48</v>
      </c>
      <c r="C67" s="22">
        <f>SUMIF('[1]Cost Centre Summary'!A$1:A$65536,$A67,'[1]Cost Centre Summary'!H$1:H$65536)</f>
        <v>6452</v>
      </c>
      <c r="D67" s="22">
        <f>SUMIF('[1]Cost Centre Summary'!A$1:A$65536,$A67,'[1]Cost Centre Summary'!J$1:J$65536)</f>
        <v>0</v>
      </c>
      <c r="E67" s="23">
        <f>540+495+400+350+300+300</f>
        <v>2385</v>
      </c>
      <c r="F67" s="22">
        <f>SUMIF('[1]Cost Centre Summary'!A$1:A$65536,$A67,'[1]Cost Centre Summary'!N$1:N$65536)</f>
        <v>4168.08</v>
      </c>
      <c r="G67" s="39">
        <f t="shared" si="3"/>
        <v>-101.07999999999993</v>
      </c>
      <c r="H67" s="25"/>
    </row>
    <row r="68" spans="1:8" x14ac:dyDescent="0.2">
      <c r="A68" s="25"/>
      <c r="B68" s="43" t="s">
        <v>79</v>
      </c>
      <c r="C68" s="31">
        <f>SUM(C43:C67)</f>
        <v>87823</v>
      </c>
      <c r="D68" s="31">
        <f>SUM(D43:D67)</f>
        <v>13846.52</v>
      </c>
      <c r="E68" s="32">
        <f>SUM(E43:E67)</f>
        <v>22244</v>
      </c>
      <c r="F68" s="31">
        <f>SUM(F43:F67)</f>
        <v>49929.69000000001</v>
      </c>
      <c r="G68" s="31">
        <f>SUM(G43:G67)</f>
        <v>1802.7899999999995</v>
      </c>
      <c r="H68" s="25"/>
    </row>
    <row r="69" spans="1:8" s="42" customFormat="1" x14ac:dyDescent="0.2">
      <c r="A69" s="20"/>
      <c r="B69" s="44"/>
      <c r="C69" s="45"/>
      <c r="D69" s="45"/>
      <c r="E69" s="45"/>
      <c r="F69" s="45"/>
      <c r="G69" s="45"/>
      <c r="H69" s="20"/>
    </row>
    <row r="70" spans="1:8" s="42" customFormat="1" x14ac:dyDescent="0.2">
      <c r="A70" s="20"/>
      <c r="B70" s="46" t="s">
        <v>80</v>
      </c>
      <c r="C70" s="34"/>
      <c r="D70" s="34"/>
      <c r="E70" s="34"/>
      <c r="F70" s="34"/>
      <c r="G70" s="34"/>
      <c r="H70" s="20"/>
    </row>
    <row r="71" spans="1:8" x14ac:dyDescent="0.2">
      <c r="A71" s="25">
        <v>2022</v>
      </c>
      <c r="B71" s="26" t="s">
        <v>7</v>
      </c>
      <c r="C71" s="22">
        <f>SUMIF('[1]Cost Centre Summary'!A$1:A$65536,$A71,'[1]Cost Centre Summary'!H$1:H$65536)</f>
        <v>500</v>
      </c>
      <c r="D71" s="22">
        <f>SUMIF('[1]Cost Centre Summary'!A$1:A$65536,$A71,'[1]Cost Centre Summary'!J$1:J$65536)</f>
        <v>81</v>
      </c>
      <c r="E71" s="23">
        <v>86</v>
      </c>
      <c r="F71" s="22">
        <f>SUMIF('[1]Cost Centre Summary'!A$1:A$65536,$A71,'[1]Cost Centre Summary'!N$1:N$65536)</f>
        <v>333.19</v>
      </c>
      <c r="G71" s="22">
        <f t="shared" ref="G71:G91" si="4">C71-D71-E71-F71</f>
        <v>-0.18999999999999773</v>
      </c>
      <c r="H71" s="25"/>
    </row>
    <row r="72" spans="1:8" x14ac:dyDescent="0.2">
      <c r="A72" s="25">
        <v>7001</v>
      </c>
      <c r="B72" s="26" t="s">
        <v>81</v>
      </c>
      <c r="C72" s="22">
        <f>SUMIF('[1]Cost Centre Summary'!A$1:A$65536,$A72,'[1]Cost Centre Summary'!H$1:H$65536)</f>
        <v>32723</v>
      </c>
      <c r="D72" s="22">
        <v>10204</v>
      </c>
      <c r="E72" s="23">
        <f>-1375+1699+350+1000</f>
        <v>1674</v>
      </c>
      <c r="F72" s="22">
        <f>SUMIF('[1]Cost Centre Summary'!A$1:A$65536,$A72,'[1]Cost Centre Summary'!N$1:N$65536)</f>
        <v>8028.42</v>
      </c>
      <c r="G72" s="22">
        <f t="shared" si="4"/>
        <v>12816.58</v>
      </c>
      <c r="H72" s="25">
        <v>9</v>
      </c>
    </row>
    <row r="73" spans="1:8" ht="12.75" customHeight="1" x14ac:dyDescent="0.2">
      <c r="A73" s="25">
        <v>7002</v>
      </c>
      <c r="B73" s="26" t="s">
        <v>22</v>
      </c>
      <c r="C73" s="22">
        <f>SUMIF('[1]Cost Centre Summary'!A$1:A$65536,$A73,'[1]Cost Centre Summary'!H$1:H$65536)</f>
        <v>2500</v>
      </c>
      <c r="D73" s="22">
        <f>SUMIF('[1]Cost Centre Summary'!A$1:A$65536,$A73,'[1]Cost Centre Summary'!J$1:J$65536)</f>
        <v>0</v>
      </c>
      <c r="E73" s="23">
        <v>744</v>
      </c>
      <c r="F73" s="22">
        <f>SUMIF('[1]Cost Centre Summary'!A$1:A$65536,$A73,'[1]Cost Centre Summary'!N$1:N$65536)</f>
        <v>1756.14</v>
      </c>
      <c r="G73" s="22">
        <f t="shared" si="4"/>
        <v>-0.14000000000010004</v>
      </c>
      <c r="H73" s="25"/>
    </row>
    <row r="74" spans="1:8" x14ac:dyDescent="0.2">
      <c r="A74" s="25">
        <v>7003</v>
      </c>
      <c r="B74" s="26" t="s">
        <v>23</v>
      </c>
      <c r="C74" s="22">
        <f>SUMIF('[1]Cost Centre Summary'!A$1:A$65536,$A74,'[1]Cost Centre Summary'!H$1:H$65536)</f>
        <v>0</v>
      </c>
      <c r="D74" s="22">
        <f>SUMIF('[1]Cost Centre Summary'!A$1:A$65536,$A74,'[1]Cost Centre Summary'!J$1:J$65536)</f>
        <v>0</v>
      </c>
      <c r="E74" s="23">
        <v>1039</v>
      </c>
      <c r="F74" s="22">
        <f>SUMIF('[1]Cost Centre Summary'!A$1:A$65536,$A74,'[1]Cost Centre Summary'!N$1:N$65536)</f>
        <v>-1038.54</v>
      </c>
      <c r="G74" s="22">
        <f t="shared" si="4"/>
        <v>-0.46000000000003638</v>
      </c>
      <c r="H74" s="25"/>
    </row>
    <row r="75" spans="1:8" x14ac:dyDescent="0.2">
      <c r="A75" s="25">
        <v>7005</v>
      </c>
      <c r="B75" s="26" t="s">
        <v>24</v>
      </c>
      <c r="C75" s="22">
        <f>SUMIF('[1]Cost Centre Summary'!A$1:A$65536,$A75,'[1]Cost Centre Summary'!H$1:H$65536)</f>
        <v>800</v>
      </c>
      <c r="D75" s="22">
        <f>SUMIF('[1]Cost Centre Summary'!A$1:A$65536,$A75,'[1]Cost Centre Summary'!J$1:J$65536)</f>
        <v>0</v>
      </c>
      <c r="E75" s="23">
        <v>426</v>
      </c>
      <c r="F75" s="22">
        <f>SUMIF('[1]Cost Centre Summary'!A$1:A$65536,$A75,'[1]Cost Centre Summary'!N$1:N$65536)</f>
        <v>374.02</v>
      </c>
      <c r="G75" s="22">
        <f t="shared" si="4"/>
        <v>-1.999999999998181E-2</v>
      </c>
      <c r="H75" s="25"/>
    </row>
    <row r="76" spans="1:8" x14ac:dyDescent="0.2">
      <c r="A76" s="25">
        <v>7007</v>
      </c>
      <c r="B76" s="26" t="s">
        <v>82</v>
      </c>
      <c r="C76" s="22">
        <f>SUMIF('[1]Cost Centre Summary'!A$1:A$65536,$A76,'[1]Cost Centre Summary'!H$1:H$65536)</f>
        <v>0</v>
      </c>
      <c r="D76" s="22">
        <f>SUMIF('[1]Cost Centre Summary'!A$1:A$65536,$A76,'[1]Cost Centre Summary'!J$1:J$65536)</f>
        <v>0</v>
      </c>
      <c r="E76" s="23">
        <v>-335</v>
      </c>
      <c r="F76" s="22">
        <f>SUMIF('[1]Cost Centre Summary'!A$1:A$65536,$A76,'[1]Cost Centre Summary'!N$1:N$65536)</f>
        <v>334.56</v>
      </c>
      <c r="G76" s="22">
        <f t="shared" si="4"/>
        <v>0.43999999999999773</v>
      </c>
      <c r="H76" s="25"/>
    </row>
    <row r="77" spans="1:8" x14ac:dyDescent="0.2">
      <c r="A77" s="25">
        <v>7008</v>
      </c>
      <c r="B77" s="26" t="s">
        <v>25</v>
      </c>
      <c r="C77" s="22">
        <f>SUMIF('[1]Cost Centre Summary'!A$1:A$65536,$A77,'[1]Cost Centre Summary'!H$1:H$65536)</f>
        <v>0</v>
      </c>
      <c r="D77" s="12">
        <v>6840</v>
      </c>
      <c r="E77" s="22">
        <v>-3621</v>
      </c>
      <c r="F77" s="22">
        <f>SUMIF('[1]Cost Centre Summary'!A$1:A$65536,$A77,'[1]Cost Centre Summary'!N$1:N$65536)</f>
        <v>-3219</v>
      </c>
      <c r="G77" s="22">
        <f t="shared" si="4"/>
        <v>0</v>
      </c>
      <c r="H77" s="25"/>
    </row>
    <row r="78" spans="1:8" x14ac:dyDescent="0.2">
      <c r="A78" s="25">
        <v>7009</v>
      </c>
      <c r="B78" s="26" t="s">
        <v>26</v>
      </c>
      <c r="C78" s="22">
        <f>SUMIF('[1]Cost Centre Summary'!A$1:A$65536,$A78,'[1]Cost Centre Summary'!H$1:H$65536)</f>
        <v>1927</v>
      </c>
      <c r="D78" s="22">
        <f>SUMIF('[1]Cost Centre Summary'!A$1:A$65536,$A78,'[1]Cost Centre Summary'!J$1:J$65536)</f>
        <v>0</v>
      </c>
      <c r="E78" s="23">
        <f>500+423</f>
        <v>923</v>
      </c>
      <c r="F78" s="22">
        <f>SUMIF('[1]Cost Centre Summary'!A$1:A$65536,$A78,'[1]Cost Centre Summary'!N$1:N$65536)</f>
        <v>1003.5500000000001</v>
      </c>
      <c r="G78" s="22">
        <f t="shared" si="4"/>
        <v>0.44999999999993179</v>
      </c>
      <c r="H78" s="25">
        <v>10</v>
      </c>
    </row>
    <row r="79" spans="1:8" x14ac:dyDescent="0.2">
      <c r="A79" s="25">
        <v>7010</v>
      </c>
      <c r="B79" s="26" t="s">
        <v>83</v>
      </c>
      <c r="C79" s="22">
        <f>SUMIF('[1]Cost Centre Summary'!A$1:A$65536,$A79,'[1]Cost Centre Summary'!H$1:H$65536)</f>
        <v>650</v>
      </c>
      <c r="D79" s="22">
        <f>SUMIF('[1]Cost Centre Summary'!A$1:A$65536,$A79,'[1]Cost Centre Summary'!J$1:J$65536)</f>
        <v>330</v>
      </c>
      <c r="E79" s="23">
        <v>257.5</v>
      </c>
      <c r="F79" s="22">
        <f>SUMIF('[1]Cost Centre Summary'!A$1:A$65536,$A79,'[1]Cost Centre Summary'!N$1:N$65536)</f>
        <v>62.5</v>
      </c>
      <c r="G79" s="22">
        <f t="shared" si="4"/>
        <v>0</v>
      </c>
      <c r="H79" s="25"/>
    </row>
    <row r="80" spans="1:8" x14ac:dyDescent="0.2">
      <c r="A80" s="25">
        <v>7011</v>
      </c>
      <c r="B80" s="26" t="s">
        <v>84</v>
      </c>
      <c r="C80" s="22">
        <f>SUMIF('[1]Cost Centre Summary'!A$1:A$65536,$A80,'[1]Cost Centre Summary'!H$1:H$65536)</f>
        <v>0</v>
      </c>
      <c r="D80" s="22">
        <f>SUMIF('[1]Cost Centre Summary'!A$1:A$65536,$A80,'[1]Cost Centre Summary'!J$1:J$65536)</f>
        <v>0</v>
      </c>
      <c r="E80" s="23">
        <v>22</v>
      </c>
      <c r="F80" s="22">
        <f>SUMIF('[1]Cost Centre Summary'!A$1:A$65536,$A80,'[1]Cost Centre Summary'!N$1:N$65536)</f>
        <v>-21.76</v>
      </c>
      <c r="G80" s="22">
        <f t="shared" si="4"/>
        <v>-0.23999999999999844</v>
      </c>
      <c r="H80" s="25"/>
    </row>
    <row r="81" spans="1:8" x14ac:dyDescent="0.2">
      <c r="A81" s="25">
        <v>7012</v>
      </c>
      <c r="B81" s="26" t="s">
        <v>85</v>
      </c>
      <c r="C81" s="22">
        <f>SUMIF('[1]Cost Centre Summary'!A$1:A$65536,$A81,'[1]Cost Centre Summary'!H$1:H$65536)</f>
        <v>0</v>
      </c>
      <c r="D81" s="22">
        <f>SUMIF('[1]Cost Centre Summary'!A$1:A$65536,$A81,'[1]Cost Centre Summary'!J$1:J$65536)</f>
        <v>0</v>
      </c>
      <c r="E81" s="23">
        <v>2</v>
      </c>
      <c r="F81" s="22">
        <f>SUMIF('[1]Cost Centre Summary'!A$1:A$65536,$A81,'[1]Cost Centre Summary'!N$1:N$65536)</f>
        <v>-2.16</v>
      </c>
      <c r="G81" s="22">
        <f t="shared" si="4"/>
        <v>0.16000000000000014</v>
      </c>
      <c r="H81" s="25"/>
    </row>
    <row r="82" spans="1:8" x14ac:dyDescent="0.2">
      <c r="A82" s="25">
        <v>7014</v>
      </c>
      <c r="B82" s="26" t="s">
        <v>86</v>
      </c>
      <c r="C82" s="22">
        <f>SUMIF('[1]Cost Centre Summary'!A$1:A$65536,$A82,'[1]Cost Centre Summary'!H$1:H$65536)</f>
        <v>0</v>
      </c>
      <c r="D82" s="22">
        <f>SUMIF('[1]Cost Centre Summary'!A$1:A$65536,$A82,'[1]Cost Centre Summary'!J$1:J$65536)</f>
        <v>0</v>
      </c>
      <c r="E82" s="23">
        <v>-3.5</v>
      </c>
      <c r="F82" s="22">
        <f>SUMIF('[1]Cost Centre Summary'!A$1:A$65536,$A82,'[1]Cost Centre Summary'!N$1:N$65536)</f>
        <v>3.5</v>
      </c>
      <c r="G82" s="24">
        <f t="shared" si="4"/>
        <v>0</v>
      </c>
      <c r="H82" s="25"/>
    </row>
    <row r="83" spans="1:8" x14ac:dyDescent="0.2">
      <c r="A83" s="25">
        <v>7015</v>
      </c>
      <c r="B83" s="26" t="s">
        <v>87</v>
      </c>
      <c r="C83" s="22">
        <f>SUMIF('[1]Cost Centre Summary'!A$1:A$65536,$A83,'[1]Cost Centre Summary'!H$1:H$65536)</f>
        <v>0</v>
      </c>
      <c r="D83" s="22">
        <f>SUMIF('[1]Cost Centre Summary'!A$1:A$65536,$A83,'[1]Cost Centre Summary'!J$1:J$65536)</f>
        <v>0</v>
      </c>
      <c r="E83" s="23">
        <v>-47</v>
      </c>
      <c r="F83" s="22">
        <f>SUMIF('[1]Cost Centre Summary'!A$1:A$65536,$A83,'[1]Cost Centre Summary'!N$1:N$65536)</f>
        <v>46.99</v>
      </c>
      <c r="G83" s="22">
        <f t="shared" si="4"/>
        <v>9.9999999999980105E-3</v>
      </c>
      <c r="H83" s="25"/>
    </row>
    <row r="84" spans="1:8" x14ac:dyDescent="0.2">
      <c r="A84" s="25">
        <v>7021</v>
      </c>
      <c r="B84" s="26" t="s">
        <v>31</v>
      </c>
      <c r="C84" s="22">
        <f>SUMIF('[1]Cost Centre Summary'!A$1:A$65536,$A84,'[1]Cost Centre Summary'!H$1:H$65536)</f>
        <v>1300</v>
      </c>
      <c r="D84" s="22">
        <f>SUMIF('[1]Cost Centre Summary'!A$1:A$65536,$A84,'[1]Cost Centre Summary'!J$1:J$65536)</f>
        <v>107</v>
      </c>
      <c r="E84" s="23">
        <v>196</v>
      </c>
      <c r="F84" s="22">
        <f>SUMIF('[1]Cost Centre Summary'!A$1:A$65536,$A84,'[1]Cost Centre Summary'!N$1:N$65536)</f>
        <v>996.71</v>
      </c>
      <c r="G84" s="22">
        <f t="shared" si="4"/>
        <v>0.28999999999996362</v>
      </c>
      <c r="H84" s="25"/>
    </row>
    <row r="85" spans="1:8" x14ac:dyDescent="0.2">
      <c r="A85" s="25">
        <v>7024</v>
      </c>
      <c r="B85" s="26" t="s">
        <v>32</v>
      </c>
      <c r="C85" s="22">
        <f>SUMIF('[1]Cost Centre Summary'!A$1:A$65536,$A85,'[1]Cost Centre Summary'!H$1:H$65536)</f>
        <v>100</v>
      </c>
      <c r="D85" s="22">
        <f>SUMIF('[1]Cost Centre Summary'!A$1:A$65536,$A85,'[1]Cost Centre Summary'!J$1:J$65536)</f>
        <v>0</v>
      </c>
      <c r="E85" s="23">
        <v>100</v>
      </c>
      <c r="F85" s="22">
        <f>SUMIF('[1]Cost Centre Summary'!A$1:A$65536,$A85,'[1]Cost Centre Summary'!N$1:N$65536)</f>
        <v>0</v>
      </c>
      <c r="G85" s="22">
        <f t="shared" si="4"/>
        <v>0</v>
      </c>
      <c r="H85" s="25"/>
    </row>
    <row r="86" spans="1:8" x14ac:dyDescent="0.2">
      <c r="A86" s="25">
        <v>7030</v>
      </c>
      <c r="B86" s="26" t="s">
        <v>36</v>
      </c>
      <c r="C86" s="22">
        <f>SUMIF('[1]Cost Centre Summary'!A$1:A$65536,$A86,'[1]Cost Centre Summary'!H$1:H$65536)</f>
        <v>100</v>
      </c>
      <c r="D86" s="22">
        <f>SUMIF('[1]Cost Centre Summary'!A$1:A$65536,$A86,'[1]Cost Centre Summary'!J$1:J$65536)</f>
        <v>0</v>
      </c>
      <c r="E86" s="23">
        <v>140</v>
      </c>
      <c r="F86" s="22">
        <f>SUMIF('[1]Cost Centre Summary'!A$1:A$65536,$A86,'[1]Cost Centre Summary'!N$1:N$65536)</f>
        <v>-40</v>
      </c>
      <c r="G86" s="22">
        <f t="shared" si="4"/>
        <v>0</v>
      </c>
      <c r="H86" s="25"/>
    </row>
    <row r="87" spans="1:8" x14ac:dyDescent="0.2">
      <c r="A87" s="25">
        <v>7034</v>
      </c>
      <c r="B87" s="26" t="s">
        <v>38</v>
      </c>
      <c r="C87" s="22">
        <f>SUMIF('[1]Cost Centre Summary'!A$1:A$65536,$A87,'[1]Cost Centre Summary'!H$1:H$65536)</f>
        <v>100</v>
      </c>
      <c r="D87" s="22">
        <f>SUMIF('[1]Cost Centre Summary'!A$1:A$65536,$A87,'[1]Cost Centre Summary'!J$1:J$65536)</f>
        <v>0</v>
      </c>
      <c r="E87" s="23">
        <v>80</v>
      </c>
      <c r="F87" s="22">
        <f>SUMIF('[1]Cost Centre Summary'!A$1:A$65536,$A87,'[1]Cost Centre Summary'!N$1:N$65536)</f>
        <v>20</v>
      </c>
      <c r="G87" s="22">
        <f t="shared" si="4"/>
        <v>0</v>
      </c>
      <c r="H87" s="25"/>
    </row>
    <row r="88" spans="1:8" x14ac:dyDescent="0.2">
      <c r="A88" s="25">
        <v>7035</v>
      </c>
      <c r="B88" s="26" t="s">
        <v>39</v>
      </c>
      <c r="C88" s="22">
        <f>SUMIF('[1]Cost Centre Summary'!A$1:A$65536,$A88,'[1]Cost Centre Summary'!H$1:H$65536)</f>
        <v>100</v>
      </c>
      <c r="D88" s="22">
        <f>SUMIF('[1]Cost Centre Summary'!A$1:A$65536,$A88,'[1]Cost Centre Summary'!J$1:J$65536)</f>
        <v>0</v>
      </c>
      <c r="E88" s="23">
        <v>100</v>
      </c>
      <c r="F88" s="22">
        <f>SUMIF('[1]Cost Centre Summary'!A$1:A$65536,$A88,'[1]Cost Centre Summary'!N$1:N$65536)</f>
        <v>0</v>
      </c>
      <c r="G88" s="22">
        <f t="shared" si="4"/>
        <v>0</v>
      </c>
      <c r="H88" s="25"/>
    </row>
    <row r="89" spans="1:8" x14ac:dyDescent="0.2">
      <c r="A89" s="25">
        <v>7036</v>
      </c>
      <c r="B89" s="26" t="s">
        <v>40</v>
      </c>
      <c r="C89" s="22">
        <f>SUMIF('[1]Cost Centre Summary'!A$1:A$65536,$A89,'[1]Cost Centre Summary'!H$1:H$65536)</f>
        <v>0</v>
      </c>
      <c r="D89" s="22">
        <f>SUMIF('[1]Cost Centre Summary'!A$1:A$65536,$A89,'[1]Cost Centre Summary'!J$1:J$65536)</f>
        <v>0</v>
      </c>
      <c r="E89" s="23"/>
      <c r="F89" s="22">
        <f>SUMIF('[1]Cost Centre Summary'!A$1:A$65536,$A89,'[1]Cost Centre Summary'!N$1:N$65536)</f>
        <v>134.5</v>
      </c>
      <c r="G89" s="39">
        <f t="shared" si="4"/>
        <v>-134.5</v>
      </c>
      <c r="H89" s="25"/>
    </row>
    <row r="90" spans="1:8" x14ac:dyDescent="0.2">
      <c r="A90" s="25">
        <v>7038</v>
      </c>
      <c r="B90" s="26" t="s">
        <v>88</v>
      </c>
      <c r="C90" s="22">
        <f>SUMIF('[1]Cost Centre Summary'!A$1:A$65536,$A90,'[1]Cost Centre Summary'!H$1:H$65536)</f>
        <v>100</v>
      </c>
      <c r="D90" s="22">
        <f>SUMIF('[1]Cost Centre Summary'!A$1:A$65536,$A90,'[1]Cost Centre Summary'!J$1:J$65536)</f>
        <v>0</v>
      </c>
      <c r="E90" s="23">
        <v>100</v>
      </c>
      <c r="F90" s="22">
        <f>SUMIF('[1]Cost Centre Summary'!A$1:A$65536,$A90,'[1]Cost Centre Summary'!N$1:N$65536)</f>
        <v>0</v>
      </c>
      <c r="G90" s="22">
        <f t="shared" si="4"/>
        <v>0</v>
      </c>
      <c r="H90" s="25"/>
    </row>
    <row r="91" spans="1:8" x14ac:dyDescent="0.2">
      <c r="A91" s="25">
        <v>9001</v>
      </c>
      <c r="B91" s="26" t="s">
        <v>89</v>
      </c>
      <c r="C91" s="22">
        <f>SUMIF('[1]Cost Centre Summary'!A$1:A$65536,$A91,'[1]Cost Centre Summary'!H$1:H$65536)</f>
        <v>500</v>
      </c>
      <c r="D91" s="22">
        <f>SUMIF('[1]Cost Centre Summary'!A$1:A$65536,$A91,'[1]Cost Centre Summary'!J$1:J$65536)</f>
        <v>76.55</v>
      </c>
      <c r="E91" s="23">
        <f>-1353-129+169</f>
        <v>-1313</v>
      </c>
      <c r="F91" s="22">
        <f>SUMIF('[1]Cost Centre Summary'!A$1:A$65536,$A91,'[1]Cost Centre Summary'!N$1:N$65536)</f>
        <v>1736.15</v>
      </c>
      <c r="G91" s="22">
        <f t="shared" si="4"/>
        <v>0.29999999999995453</v>
      </c>
      <c r="H91" s="25"/>
    </row>
    <row r="92" spans="1:8" x14ac:dyDescent="0.2">
      <c r="A92" s="25"/>
      <c r="B92" s="43" t="s">
        <v>90</v>
      </c>
      <c r="C92" s="31">
        <f>SUM(C71:C91)</f>
        <v>41400</v>
      </c>
      <c r="D92" s="31">
        <f>SUM(D71:D91)</f>
        <v>17638.55</v>
      </c>
      <c r="E92" s="31">
        <f>SUM(E71:E91)</f>
        <v>570</v>
      </c>
      <c r="F92" s="31">
        <f>SUM(F71:F91)</f>
        <v>10508.769999999999</v>
      </c>
      <c r="G92" s="31">
        <f>SUM(G71:G91)</f>
        <v>12682.68</v>
      </c>
      <c r="H92" s="25"/>
    </row>
    <row r="93" spans="1:8" x14ac:dyDescent="0.2">
      <c r="A93" s="25"/>
      <c r="B93" s="47"/>
      <c r="C93" s="34"/>
      <c r="D93" s="34"/>
      <c r="E93" s="34"/>
      <c r="F93" s="34"/>
      <c r="G93" s="34"/>
      <c r="H93" s="25"/>
    </row>
    <row r="94" spans="1:8" x14ac:dyDescent="0.2">
      <c r="A94" s="25"/>
      <c r="B94" s="46" t="s">
        <v>91</v>
      </c>
      <c r="C94" s="34"/>
      <c r="D94" s="34"/>
      <c r="E94" s="34"/>
      <c r="F94" s="34"/>
      <c r="G94" s="34"/>
      <c r="H94" s="25"/>
    </row>
    <row r="95" spans="1:8" x14ac:dyDescent="0.2">
      <c r="A95" s="25">
        <v>21012</v>
      </c>
      <c r="B95" s="26" t="s">
        <v>92</v>
      </c>
      <c r="C95" s="22">
        <f>SUMIF('[1]Cost Centre Summary'!A$1:A$65536,$A95,'[1]Cost Centre Summary'!H$1:H$65536)</f>
        <v>-11000</v>
      </c>
      <c r="D95" s="22">
        <f>SUMIF('[1]Cost Centre Summary'!A$1:A$65536,$A95,'[1]Cost Centre Summary'!J$1:J$65536)</f>
        <v>0</v>
      </c>
      <c r="E95" s="23">
        <v>-6000</v>
      </c>
      <c r="F95" s="22">
        <f>SUMIF('[1]Cost Centre Summary'!A$1:A$65536,$A95,'[1]Cost Centre Summary'!N$1:N$65536)</f>
        <v>-7153</v>
      </c>
      <c r="G95" s="22">
        <f>C95-D95-E95-F95</f>
        <v>2153</v>
      </c>
      <c r="H95" s="25" t="s">
        <v>93</v>
      </c>
    </row>
    <row r="96" spans="1:8" x14ac:dyDescent="0.2">
      <c r="A96" s="25">
        <v>21020</v>
      </c>
      <c r="B96" s="26" t="s">
        <v>94</v>
      </c>
      <c r="C96" s="22">
        <f>SUMIF('[1]Cost Centre Summary'!A$1:A$65536,$A96,'[1]Cost Centre Summary'!H$1:H$65536)</f>
        <v>-4750</v>
      </c>
      <c r="D96" s="22">
        <f>SUMIF('[1]Cost Centre Summary'!A$1:A$65536,$A96,'[1]Cost Centre Summary'!J$1:J$65536)</f>
        <v>0</v>
      </c>
      <c r="E96" s="23">
        <v>-2090</v>
      </c>
      <c r="F96" s="22">
        <f>SUMIF('[1]Cost Centre Summary'!A$1:A$65536,$A96,'[1]Cost Centre Summary'!N$1:N$65536)</f>
        <v>-2660.5</v>
      </c>
      <c r="G96" s="22">
        <f>C96-D96-E96-F96</f>
        <v>0.5</v>
      </c>
      <c r="H96" s="25"/>
    </row>
    <row r="97" spans="1:8" x14ac:dyDescent="0.2">
      <c r="A97" s="25">
        <v>8016</v>
      </c>
      <c r="B97" s="26" t="s">
        <v>95</v>
      </c>
      <c r="C97" s="22">
        <f>SUMIF('[1]Cost Centre Summary'!A$1:A$65536,$A97,'[1]Cost Centre Summary'!H$1:H$65536)</f>
        <v>-1000</v>
      </c>
      <c r="D97" s="22">
        <f>SUMIF('[1]Cost Centre Summary'!A$1:A$65536,$A97,'[1]Cost Centre Summary'!J$1:J$65536)</f>
        <v>0</v>
      </c>
      <c r="E97" s="23">
        <v>-500</v>
      </c>
      <c r="F97" s="22">
        <f>SUMIF('[1]Cost Centre Summary'!A$1:A$65536,$A97,'[1]Cost Centre Summary'!N$1:N$65536)</f>
        <v>-1103</v>
      </c>
      <c r="G97" s="22">
        <f>C97-D97-E97-F97</f>
        <v>603</v>
      </c>
      <c r="H97" s="25">
        <v>12</v>
      </c>
    </row>
    <row r="98" spans="1:8" x14ac:dyDescent="0.2">
      <c r="A98" s="25">
        <v>7037</v>
      </c>
      <c r="B98" s="26" t="s">
        <v>96</v>
      </c>
      <c r="C98" s="22">
        <f>SUMIF('[1]Cost Centre Summary'!A$1:A$65536,$A98,'[1]Cost Centre Summary'!H$1:H$65536)</f>
        <v>8695</v>
      </c>
      <c r="D98" s="22">
        <f>SUMIF('[1]Cost Centre Summary'!A$1:A$65536,$A98,'[1]Cost Centre Summary'!J$1:J$65536)</f>
        <v>0</v>
      </c>
      <c r="E98" s="23">
        <v>2908</v>
      </c>
      <c r="F98" s="22">
        <f>SUMIF('[1]Cost Centre Summary'!A$1:A$65536,$A98,'[1]Cost Centre Summary'!N$1:N$65536)</f>
        <v>5787.24</v>
      </c>
      <c r="G98" s="22">
        <f>C98-D98-E98-F98</f>
        <v>-0.23999999999978172</v>
      </c>
      <c r="H98" s="25" t="s">
        <v>93</v>
      </c>
    </row>
    <row r="99" spans="1:8" x14ac:dyDescent="0.2">
      <c r="A99" s="25">
        <v>8017</v>
      </c>
      <c r="B99" s="26" t="s">
        <v>97</v>
      </c>
      <c r="C99" s="22">
        <f>SUMIF('[1]Cost Centre Summary'!A$1:A$65536,$A99,'[1]Cost Centre Summary'!H$1:H$65536)</f>
        <v>3800</v>
      </c>
      <c r="D99" s="22">
        <f>SUMIF('[1]Cost Centre Summary'!A$1:A$65536,$A99,'[1]Cost Centre Summary'!J$1:J$65536)</f>
        <v>0</v>
      </c>
      <c r="E99" s="23">
        <v>1160</v>
      </c>
      <c r="F99" s="22">
        <f>SUMIF('[1]Cost Centre Summary'!A$1:A$65536,$A99,'[1]Cost Centre Summary'!N$1:N$65536)</f>
        <v>2640</v>
      </c>
      <c r="G99" s="22">
        <f>C99-D99-E99-F99</f>
        <v>0</v>
      </c>
      <c r="H99" s="25"/>
    </row>
    <row r="100" spans="1:8" x14ac:dyDescent="0.2">
      <c r="A100" s="25"/>
      <c r="B100" s="48" t="s">
        <v>98</v>
      </c>
      <c r="C100" s="49">
        <f>SUM(C95:C99)</f>
        <v>-4255</v>
      </c>
      <c r="D100" s="49">
        <f>SUM(D95:D99)</f>
        <v>0</v>
      </c>
      <c r="E100" s="49">
        <f>SUM(E95:E99)</f>
        <v>-4522</v>
      </c>
      <c r="F100" s="49">
        <f>SUM(F95:F99)</f>
        <v>-2489.2600000000002</v>
      </c>
      <c r="G100" s="49">
        <f>SUM(G95:G99)</f>
        <v>2756.26</v>
      </c>
      <c r="H100" s="25"/>
    </row>
    <row r="101" spans="1:8" x14ac:dyDescent="0.2">
      <c r="A101" s="25"/>
      <c r="B101" s="47"/>
      <c r="C101" s="34"/>
      <c r="D101" s="34"/>
      <c r="E101" s="34"/>
      <c r="F101" s="34"/>
      <c r="G101" s="34"/>
      <c r="H101" s="25"/>
    </row>
    <row r="102" spans="1:8" x14ac:dyDescent="0.2">
      <c r="A102" s="25"/>
      <c r="B102" s="26"/>
      <c r="C102" s="22"/>
      <c r="D102" s="22"/>
      <c r="E102" s="23"/>
      <c r="F102" s="22"/>
      <c r="G102" s="22"/>
      <c r="H102" s="25"/>
    </row>
    <row r="103" spans="1:8" x14ac:dyDescent="0.2">
      <c r="A103" s="25"/>
      <c r="B103" s="50" t="s">
        <v>99</v>
      </c>
      <c r="C103" s="51">
        <f>C39+C68+C92+C100</f>
        <v>491987</v>
      </c>
      <c r="D103" s="51">
        <f>D39+D42+D68+D92+D100</f>
        <v>204189.32999999996</v>
      </c>
      <c r="E103" s="51">
        <f>E39+E42+E68+E92+E100</f>
        <v>39621.5</v>
      </c>
      <c r="F103" s="51">
        <f>F39+F42+F68+F92+F100</f>
        <v>228179.66999999998</v>
      </c>
      <c r="G103" s="51">
        <f>G39+G68+G92+G100</f>
        <v>19996.499999999993</v>
      </c>
      <c r="H103" s="25"/>
    </row>
    <row r="104" spans="1:8" x14ac:dyDescent="0.2">
      <c r="A104" s="25"/>
      <c r="B104" s="26"/>
      <c r="C104" s="22"/>
      <c r="D104" s="22"/>
      <c r="E104" s="23"/>
      <c r="F104" s="22"/>
      <c r="G104" s="22"/>
      <c r="H104" s="25"/>
    </row>
    <row r="105" spans="1:8" x14ac:dyDescent="0.2">
      <c r="A105" s="52"/>
      <c r="B105" s="53" t="s">
        <v>100</v>
      </c>
      <c r="C105" s="54">
        <f>C103+C19</f>
        <v>-17022</v>
      </c>
      <c r="D105" s="55">
        <f>D103+D19</f>
        <v>204189.32999999996</v>
      </c>
      <c r="E105" s="56">
        <f>E103+E19</f>
        <v>-175451.5</v>
      </c>
      <c r="F105" s="54">
        <f>F103+F19</f>
        <v>-71255.820000000007</v>
      </c>
      <c r="G105" s="54">
        <f>G19+G103</f>
        <v>25495.989999999994</v>
      </c>
      <c r="H105" s="25"/>
    </row>
    <row r="106" spans="1:8" x14ac:dyDescent="0.2">
      <c r="A106" s="52"/>
      <c r="B106" s="53"/>
      <c r="C106" s="54"/>
      <c r="D106" s="55"/>
      <c r="E106" s="56"/>
      <c r="F106" s="54"/>
      <c r="G106" s="54"/>
      <c r="H106" s="25"/>
    </row>
    <row r="107" spans="1:8" x14ac:dyDescent="0.2">
      <c r="A107" s="52"/>
      <c r="B107" s="53" t="s">
        <v>101</v>
      </c>
      <c r="C107" s="51">
        <f>SUM(C105:C106)</f>
        <v>-17022</v>
      </c>
      <c r="D107" s="54"/>
      <c r="E107" s="57"/>
      <c r="F107" s="55">
        <f>SUM(F105:F106)</f>
        <v>-71255.820000000007</v>
      </c>
      <c r="G107" s="58">
        <f>SUM(G105:G106)</f>
        <v>25495.989999999994</v>
      </c>
      <c r="H107" s="25"/>
    </row>
    <row r="108" spans="1:8" x14ac:dyDescent="0.2">
      <c r="A108" s="59"/>
      <c r="B108" s="53"/>
      <c r="C108" s="51"/>
      <c r="D108" s="54"/>
      <c r="E108" s="57"/>
      <c r="F108" s="55"/>
      <c r="G108" s="58"/>
      <c r="H108" s="25"/>
    </row>
    <row r="109" spans="1:8" x14ac:dyDescent="0.2">
      <c r="A109" s="60" t="s">
        <v>49</v>
      </c>
      <c r="B109" s="61" t="s">
        <v>102</v>
      </c>
      <c r="C109" s="62">
        <f>SUMIF('[1]Cost Centre Summary'!A$1:A$65536,$A109,'[1]Cost Centre Summary'!H$1:H$65536)</f>
        <v>17022</v>
      </c>
      <c r="D109" s="62">
        <f>SUMIF('[1]Cost Centre Summary'!B$1:B$65536,$A109,'[1]Cost Centre Summary'!I$1:I$65536)</f>
        <v>0</v>
      </c>
      <c r="E109" s="62">
        <f>SUMIF('[1]Cost Centre Summary'!C$1:C$65536,$A109,'[1]Cost Centre Summary'!J$1:J$65536)</f>
        <v>0</v>
      </c>
      <c r="F109" s="62">
        <f>SUMIF('[1]Cost Centre Summary'!D$1:D$65536,$A109,'[1]Cost Centre Summary'!K$1:K$65536)</f>
        <v>0</v>
      </c>
      <c r="G109" s="62">
        <f>'[1]Cost Centre Summary'!O171</f>
        <v>17022</v>
      </c>
      <c r="H109" s="63"/>
    </row>
    <row r="110" spans="1:8" x14ac:dyDescent="0.2">
      <c r="A110" s="64"/>
      <c r="B110" s="65" t="s">
        <v>103</v>
      </c>
      <c r="C110" s="66">
        <f>C107+C109</f>
        <v>0</v>
      </c>
      <c r="D110" s="66"/>
      <c r="E110" s="66"/>
      <c r="F110" s="66"/>
      <c r="G110" s="67">
        <f>G107+G109</f>
        <v>42517.989999999991</v>
      </c>
      <c r="H110" s="64"/>
    </row>
    <row r="111" spans="1:8" ht="16.5" customHeight="1" x14ac:dyDescent="0.2">
      <c r="A111" s="25"/>
      <c r="B111" s="26"/>
      <c r="C111" s="22"/>
      <c r="D111" s="22"/>
      <c r="E111" s="23"/>
      <c r="F111" s="22"/>
      <c r="G111" s="22"/>
      <c r="H111" s="25"/>
    </row>
    <row r="112" spans="1:8" ht="13.15" customHeight="1" x14ac:dyDescent="0.2">
      <c r="A112" s="20">
        <v>12008</v>
      </c>
      <c r="B112" s="21" t="s">
        <v>104</v>
      </c>
      <c r="C112" s="22">
        <f>SUMIF('[1]Cost Centre Summary'!A$1:A$65536,$A112,'[1]Cost Centre Summary'!H$1:H$65536)</f>
        <v>-15351</v>
      </c>
      <c r="D112" s="22">
        <f>SUMIF('[1]Cost Centre Summary'!B$1:B$65536,$A112,'[1]Cost Centre Summary'!I$1:I$65536)</f>
        <v>0</v>
      </c>
      <c r="E112" s="23">
        <v>0</v>
      </c>
      <c r="F112" s="22">
        <f>SUMIF('[1]Cost Centre Summary'!A$1:A$65536,$A112,'[1]Cost Centre Summary'!N$1:N$65536)</f>
        <v>-15351.02</v>
      </c>
      <c r="G112" s="22">
        <f>C112-D112-E112-F112</f>
        <v>2.0000000000436557E-2</v>
      </c>
      <c r="H112" s="25"/>
    </row>
    <row r="113" spans="1:8" ht="13.15" customHeight="1" x14ac:dyDescent="0.2">
      <c r="A113" s="20">
        <v>23002</v>
      </c>
      <c r="B113" s="21" t="s">
        <v>105</v>
      </c>
      <c r="C113" s="22">
        <f>SUMIF('[1]Cost Centre Summary'!A$1:A$65536,$A113,'[1]Cost Centre Summary'!H$1:H$65536)</f>
        <v>-5013</v>
      </c>
      <c r="D113" s="23">
        <f>SUMIF('[1]Cost Centre Summary'!A$1:A$65536,$A113,'[1]Cost Centre Summary'!J$1:J$65536)</f>
        <v>0</v>
      </c>
      <c r="E113" s="23">
        <v>0</v>
      </c>
      <c r="F113" s="22">
        <f>SUMIF('[1]Cost Centre Summary'!A$1:A$65536,$A113,'[1]Cost Centre Summary'!N$1:N$65536)</f>
        <v>-5012.5</v>
      </c>
      <c r="G113" s="22">
        <f>C113-D113-E113-F113</f>
        <v>-0.5</v>
      </c>
      <c r="H113" s="25"/>
    </row>
    <row r="114" spans="1:8" ht="13.15" customHeight="1" x14ac:dyDescent="0.2">
      <c r="A114" s="20">
        <v>5005</v>
      </c>
      <c r="B114" s="21" t="s">
        <v>106</v>
      </c>
      <c r="C114" s="22">
        <f>SUMIF('[1]Cost Centre Summary'!A$1:A$65536,$A114,'[1]Cost Centre Summary'!H$1:H$65536)</f>
        <v>10364</v>
      </c>
      <c r="D114" s="23">
        <f>SUMIF('[1]Cost Centre Summary'!A$1:A$65536,$A114,'[1]Cost Centre Summary'!J$1:J$65536)</f>
        <v>0</v>
      </c>
      <c r="E114" s="23">
        <v>513</v>
      </c>
      <c r="F114" s="22">
        <f>SUMIF('[1]Cost Centre Summary'!A$1:A$65536,$A114,'[1]Cost Centre Summary'!N$1:N$65536)</f>
        <v>-512.5</v>
      </c>
      <c r="G114" s="22">
        <f>C114-D114-E114-F114</f>
        <v>10363.5</v>
      </c>
      <c r="H114" s="25">
        <v>13</v>
      </c>
    </row>
    <row r="115" spans="1:8" ht="13.15" customHeight="1" x14ac:dyDescent="0.2">
      <c r="A115" s="20">
        <v>7006</v>
      </c>
      <c r="B115" s="21" t="s">
        <v>107</v>
      </c>
      <c r="C115" s="22">
        <f>SUMIF('[1]Cost Centre Summary'!A$1:A$65536,$A115,'[1]Cost Centre Summary'!H$1:H$65536)</f>
        <v>10000</v>
      </c>
      <c r="D115" s="23">
        <f>SUMIF('[1]Cost Centre Summary'!A$1:A$65536,$A115,'[1]Cost Centre Summary'!J$1:J$65536)</f>
        <v>5155</v>
      </c>
      <c r="E115" s="23">
        <v>0</v>
      </c>
      <c r="F115" s="22">
        <f>SUMIF('[1]Cost Centre Summary'!A$1:A$65536,$A115,'[1]Cost Centre Summary'!N$1:N$65536)</f>
        <v>2243.46</v>
      </c>
      <c r="G115" s="22">
        <f>C115-D115-E115-F115</f>
        <v>2601.54</v>
      </c>
      <c r="H115" s="25">
        <v>13</v>
      </c>
    </row>
    <row r="116" spans="1:8" ht="12.75" customHeight="1" x14ac:dyDescent="0.2">
      <c r="A116" s="20"/>
      <c r="B116" s="21"/>
      <c r="C116" s="23"/>
      <c r="D116" s="23"/>
      <c r="E116" s="23"/>
      <c r="F116" s="23"/>
      <c r="G116" s="68"/>
      <c r="H116" s="25"/>
    </row>
    <row r="117" spans="1:8" x14ac:dyDescent="0.2">
      <c r="A117" s="25"/>
      <c r="B117" s="69" t="s">
        <v>108</v>
      </c>
      <c r="C117" s="70">
        <f>SUM(C112:C116)</f>
        <v>0</v>
      </c>
      <c r="D117" s="70">
        <f>SUM(D112:D115)</f>
        <v>5155</v>
      </c>
      <c r="E117" s="70">
        <f>SUM(E112:E115)</f>
        <v>513</v>
      </c>
      <c r="F117" s="70">
        <f>SUM(F112:F115)</f>
        <v>-18632.560000000001</v>
      </c>
      <c r="G117" s="71">
        <f>SUM(G112:G115)</f>
        <v>12964.560000000001</v>
      </c>
      <c r="H117" s="25"/>
    </row>
    <row r="118" spans="1:8" x14ac:dyDescent="0.2">
      <c r="A118" s="25"/>
      <c r="B118" s="26"/>
      <c r="C118" s="22"/>
      <c r="D118" s="22"/>
      <c r="E118" s="22"/>
      <c r="F118" s="22"/>
      <c r="G118" s="22"/>
      <c r="H118" s="25"/>
    </row>
    <row r="119" spans="1:8" ht="13.5" thickBot="1" x14ac:dyDescent="0.25">
      <c r="A119" s="64"/>
      <c r="B119" s="72" t="s">
        <v>109</v>
      </c>
      <c r="C119" s="73">
        <f>+C107+C117</f>
        <v>-17022</v>
      </c>
      <c r="D119" s="73">
        <f>D19+D103+D117</f>
        <v>209344.32999999996</v>
      </c>
      <c r="E119" s="73">
        <f>E19+E103+E117</f>
        <v>-174938.5</v>
      </c>
      <c r="F119" s="73">
        <f>F19+F39+F68+F92+F100+F117</f>
        <v>-89888.379999999976</v>
      </c>
      <c r="G119" s="73">
        <f>+G107+G117+G109</f>
        <v>55482.549999999996</v>
      </c>
      <c r="H119" s="64"/>
    </row>
    <row r="120" spans="1:8" ht="14.25" thickTop="1" thickBot="1" x14ac:dyDescent="0.25">
      <c r="A120" s="74"/>
      <c r="B120" s="75" t="s">
        <v>110</v>
      </c>
      <c r="C120" s="76">
        <f>C119+C109</f>
        <v>0</v>
      </c>
      <c r="D120" s="76">
        <f>D119+D109</f>
        <v>209344.32999999996</v>
      </c>
      <c r="E120" s="76">
        <f>E119+E109</f>
        <v>-174938.5</v>
      </c>
      <c r="F120" s="76">
        <f>F119+F109</f>
        <v>-89888.379999999976</v>
      </c>
      <c r="G120" s="76"/>
      <c r="H120" s="63"/>
    </row>
    <row r="121" spans="1:8" x14ac:dyDescent="0.2">
      <c r="A121" s="77"/>
      <c r="B121" s="78"/>
      <c r="C121" s="79"/>
      <c r="D121" s="79"/>
      <c r="E121" s="79"/>
      <c r="F121" s="79"/>
      <c r="G121" s="79"/>
      <c r="H121" s="80"/>
    </row>
    <row r="122" spans="1:8" ht="13.5" thickBot="1" x14ac:dyDescent="0.25">
      <c r="A122" s="26" t="s">
        <v>111</v>
      </c>
      <c r="B122" s="26"/>
      <c r="C122" s="81"/>
      <c r="D122" s="81"/>
      <c r="E122" s="81"/>
      <c r="F122" s="81"/>
      <c r="G122" s="81"/>
      <c r="H122" s="80"/>
    </row>
    <row r="123" spans="1:8" s="87" customFormat="1" ht="13.5" customHeight="1" thickBot="1" x14ac:dyDescent="0.25">
      <c r="A123" s="82" t="s">
        <v>112</v>
      </c>
      <c r="B123" s="83" t="s">
        <v>113</v>
      </c>
      <c r="C123" s="84">
        <f>SUMIF('[1]Cost Centre Summary'!E$1:E$65536,$A123,'[1]Cost Centre Summary'!H$1:H$65536)</f>
        <v>0</v>
      </c>
      <c r="D123" s="84">
        <v>209344</v>
      </c>
      <c r="E123" s="84"/>
      <c r="F123" s="85">
        <v>-89888</v>
      </c>
      <c r="G123" s="84"/>
      <c r="H123" s="86"/>
    </row>
    <row r="124" spans="1:8" ht="13.5" thickBot="1" x14ac:dyDescent="0.25">
      <c r="A124" s="88"/>
      <c r="B124" s="83" t="s">
        <v>114</v>
      </c>
      <c r="C124" s="89">
        <f>C120-C123</f>
        <v>0</v>
      </c>
      <c r="D124" s="89">
        <f>D120-D123</f>
        <v>0.32999999995809048</v>
      </c>
      <c r="E124" s="90"/>
      <c r="F124" s="89">
        <f>F120-F123</f>
        <v>-0.37999999997555278</v>
      </c>
      <c r="G124" s="91"/>
      <c r="H124" s="80"/>
    </row>
    <row r="125" spans="1:8" x14ac:dyDescent="0.2">
      <c r="A125" s="26"/>
      <c r="B125" s="26"/>
      <c r="C125" s="81"/>
      <c r="D125" s="81"/>
      <c r="E125" s="81"/>
      <c r="F125" s="81"/>
      <c r="G125" s="81"/>
      <c r="H125" s="80"/>
    </row>
    <row r="126" spans="1:8" x14ac:dyDescent="0.2">
      <c r="A126" s="92"/>
      <c r="B126" s="26"/>
      <c r="C126" s="81"/>
      <c r="D126" s="81"/>
      <c r="E126" s="81"/>
      <c r="F126" s="81"/>
      <c r="G126" s="81"/>
      <c r="H126" s="26"/>
    </row>
    <row r="127" spans="1:8" x14ac:dyDescent="0.2">
      <c r="A127" s="92" t="s">
        <v>115</v>
      </c>
      <c r="B127" s="26"/>
      <c r="C127" s="81"/>
      <c r="D127" s="81"/>
      <c r="E127" s="81"/>
      <c r="F127" s="81"/>
      <c r="G127" s="81"/>
      <c r="H127" s="26"/>
    </row>
    <row r="128" spans="1:8" x14ac:dyDescent="0.2">
      <c r="A128" s="93">
        <v>1</v>
      </c>
      <c r="B128" s="11" t="s">
        <v>116</v>
      </c>
      <c r="H128" s="11"/>
    </row>
    <row r="129" spans="1:8" s="95" customFormat="1" x14ac:dyDescent="0.2">
      <c r="A129" s="94">
        <v>2</v>
      </c>
      <c r="B129" s="95" t="s">
        <v>117</v>
      </c>
      <c r="C129" s="96"/>
      <c r="D129" s="96"/>
      <c r="E129" s="96"/>
      <c r="F129" s="96"/>
      <c r="G129" s="96"/>
    </row>
    <row r="130" spans="1:8" x14ac:dyDescent="0.2">
      <c r="A130" s="93">
        <v>3</v>
      </c>
      <c r="B130" s="11" t="s">
        <v>118</v>
      </c>
      <c r="H130" s="11"/>
    </row>
    <row r="131" spans="1:8" x14ac:dyDescent="0.2">
      <c r="A131" s="93">
        <v>4</v>
      </c>
      <c r="B131" s="11" t="s">
        <v>119</v>
      </c>
      <c r="H131" s="11"/>
    </row>
    <row r="132" spans="1:8" x14ac:dyDescent="0.2">
      <c r="A132" s="93">
        <v>5</v>
      </c>
      <c r="B132" s="11" t="s">
        <v>120</v>
      </c>
      <c r="H132" s="11"/>
    </row>
    <row r="133" spans="1:8" x14ac:dyDescent="0.2">
      <c r="A133" s="93">
        <v>6</v>
      </c>
      <c r="B133" s="11" t="s">
        <v>121</v>
      </c>
      <c r="H133" s="11"/>
    </row>
    <row r="134" spans="1:8" x14ac:dyDescent="0.2">
      <c r="A134" s="93"/>
      <c r="B134" s="11" t="s">
        <v>122</v>
      </c>
      <c r="H134" s="11"/>
    </row>
    <row r="135" spans="1:8" x14ac:dyDescent="0.2">
      <c r="A135" s="93">
        <v>7</v>
      </c>
      <c r="B135" s="11" t="s">
        <v>123</v>
      </c>
      <c r="H135" s="11"/>
    </row>
    <row r="136" spans="1:8" x14ac:dyDescent="0.2">
      <c r="A136" s="93">
        <v>8</v>
      </c>
      <c r="B136" s="11" t="s">
        <v>124</v>
      </c>
      <c r="H136" s="11"/>
    </row>
    <row r="137" spans="1:8" x14ac:dyDescent="0.2">
      <c r="A137" s="93">
        <v>9</v>
      </c>
      <c r="B137" s="11" t="s">
        <v>125</v>
      </c>
      <c r="H137" s="11"/>
    </row>
    <row r="138" spans="1:8" x14ac:dyDescent="0.2">
      <c r="A138" s="93">
        <v>10</v>
      </c>
      <c r="B138" s="11" t="s">
        <v>126</v>
      </c>
      <c r="H138" s="11"/>
    </row>
    <row r="139" spans="1:8" x14ac:dyDescent="0.2">
      <c r="A139" s="93">
        <v>11</v>
      </c>
      <c r="B139" s="11" t="s">
        <v>127</v>
      </c>
      <c r="H139" s="11"/>
    </row>
    <row r="140" spans="1:8" x14ac:dyDescent="0.2">
      <c r="A140" s="93">
        <v>12</v>
      </c>
      <c r="B140" s="11" t="s">
        <v>128</v>
      </c>
      <c r="H140" s="11"/>
    </row>
    <row r="141" spans="1:8" x14ac:dyDescent="0.2">
      <c r="A141" s="93">
        <v>13</v>
      </c>
      <c r="B141" s="11" t="s">
        <v>129</v>
      </c>
      <c r="H141" s="11"/>
    </row>
    <row r="142" spans="1:8" x14ac:dyDescent="0.2">
      <c r="H142" s="11"/>
    </row>
    <row r="143" spans="1:8" x14ac:dyDescent="0.2">
      <c r="H143" s="11"/>
    </row>
    <row r="144" spans="1:8" x14ac:dyDescent="0.2">
      <c r="A144" s="11" t="s">
        <v>130</v>
      </c>
    </row>
    <row r="145" spans="1:8" x14ac:dyDescent="0.2">
      <c r="A145" s="97"/>
      <c r="H145" s="11"/>
    </row>
  </sheetData>
  <mergeCells count="10">
    <mergeCell ref="A8:B8"/>
    <mergeCell ref="A21:B21"/>
    <mergeCell ref="A3:H3"/>
    <mergeCell ref="A5:A7"/>
    <mergeCell ref="B5:B7"/>
    <mergeCell ref="C5:C7"/>
    <mergeCell ref="D5:D7"/>
    <mergeCell ref="E5:E7"/>
    <mergeCell ref="F5:F7"/>
    <mergeCell ref="H5:H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I&amp;E Return</vt:lpstr>
      <vt:lpstr>BM for Sept I&amp;E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Lizzy Moor</dc:creator>
  <cp:lastModifiedBy>Lizzy Moor</cp:lastModifiedBy>
  <cp:lastPrinted>2019-08-30T13:16:02Z</cp:lastPrinted>
  <dcterms:created xsi:type="dcterms:W3CDTF">2019-08-27T09:39:56Z</dcterms:created>
  <dcterms:modified xsi:type="dcterms:W3CDTF">2019-10-15T10:53:03Z</dcterms:modified>
</cp:coreProperties>
</file>